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namedSheetViews/namedSheetView1.xml" ContentType="application/vnd.ms-excel.namedsheetview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achelSimpson\Box\MissoulaDispatchCenter\Web\Predictive Services\Intelligence\"/>
    </mc:Choice>
  </mc:AlternateContent>
  <xr:revisionPtr revIDLastSave="0" documentId="13_ncr:1_{178F157A-3A45-4232-B8D8-85DB40CC7062}" xr6:coauthVersionLast="47" xr6:coauthVersionMax="47" xr10:uidLastSave="{00000000-0000-0000-0000-000000000000}"/>
  <bookViews>
    <workbookView xWindow="-110" yWindow="-110" windowWidth="38620" windowHeight="21220" tabRatio="655" firstSheet="1" activeTab="5" xr2:uid="{00000000-000D-0000-FFFF-FFFF00000000}"/>
  </bookViews>
  <sheets>
    <sheet name="Morning Report" sheetId="11" state="hidden" r:id="rId1"/>
    <sheet name="FS-LNF" sheetId="2" r:id="rId2"/>
    <sheet name="MT-SWS" sheetId="5" r:id="rId3"/>
    <sheet name="COUNTY" sheetId="4" r:id="rId4"/>
    <sheet name="RX Fires" sheetId="6" r:id="rId5"/>
    <sheet name="SIT YTD Summary" sheetId="10" r:id="rId6"/>
    <sheet name="RAWS Precip" sheetId="12" state="hidden" r:id="rId7"/>
    <sheet name="Picklist Tables" sheetId="8" state="hidden" r:id="rId8"/>
  </sheets>
  <definedNames>
    <definedName name="_xlnm._FilterDatabase" localSheetId="1" hidden="1">'FS-LNF'!$W$1:$W$879</definedName>
    <definedName name="_xlnm._FilterDatabase" localSheetId="2" hidden="1">'MT-SWS'!$A$3:$AN$199</definedName>
    <definedName name="_xlnm._FilterDatabase" localSheetId="4" hidden="1">'RX Fires'!$H$4:$H$144</definedName>
    <definedName name="_xlnm.Criteria" localSheetId="4">'RX Fires'!$H$4:$H$144</definedName>
    <definedName name="ExternalData_1" localSheetId="6" hidden="1">'RAWS Precip'!$A$1:$L$144</definedName>
    <definedName name="_xlnm.Extract" localSheetId="4">'RX Fires'!$AB$47</definedName>
    <definedName name="_xlnm.Print_Area" localSheetId="3">COUNTY!$A$1:$AB$30</definedName>
    <definedName name="_xlnm.Print_Area" localSheetId="1">'FS-LNF'!$A$1:$AO$77</definedName>
    <definedName name="_xlnm.Print_Area" localSheetId="0">'Morning Report'!$A$1:$Y$38</definedName>
    <definedName name="_xlnm.Print_Area" localSheetId="2">'MT-SWS'!$A$1:$AM$76</definedName>
    <definedName name="_xlnm.Print_Area" localSheetId="4">'RX Fires'!$A$3:$AH$37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R81" i="6" l="1"/>
  <c r="S81" i="6" s="1"/>
  <c r="R82" i="6"/>
  <c r="S82" i="6" s="1"/>
  <c r="R85" i="6"/>
  <c r="S85" i="6" s="1"/>
  <c r="R84" i="6"/>
  <c r="S84" i="6" s="1"/>
  <c r="Y76" i="6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AJ7" i="2"/>
  <c r="AK8" i="6"/>
  <c r="AL8" i="6"/>
  <c r="AM8" i="6"/>
  <c r="AN8" i="6"/>
  <c r="AO8" i="6"/>
  <c r="AK9" i="6"/>
  <c r="AL9" i="6"/>
  <c r="AM9" i="6"/>
  <c r="AN9" i="6"/>
  <c r="AO9" i="6"/>
  <c r="AK10" i="6"/>
  <c r="AL10" i="6"/>
  <c r="AM10" i="6"/>
  <c r="AN10" i="6"/>
  <c r="AO10" i="6"/>
  <c r="AK11" i="6"/>
  <c r="AL11" i="6"/>
  <c r="AM11" i="6"/>
  <c r="AN11" i="6"/>
  <c r="AO11" i="6"/>
  <c r="AK12" i="6"/>
  <c r="AL12" i="6"/>
  <c r="AM12" i="6"/>
  <c r="AN12" i="6"/>
  <c r="AO12" i="6"/>
  <c r="AK13" i="6"/>
  <c r="AL13" i="6"/>
  <c r="AM13" i="6"/>
  <c r="AN13" i="6"/>
  <c r="AO13" i="6"/>
  <c r="AK14" i="6"/>
  <c r="AL14" i="6"/>
  <c r="AM14" i="6"/>
  <c r="AN14" i="6"/>
  <c r="AO14" i="6"/>
  <c r="AK15" i="6"/>
  <c r="AL15" i="6"/>
  <c r="AM15" i="6"/>
  <c r="AN15" i="6"/>
  <c r="AO15" i="6"/>
  <c r="AK16" i="6"/>
  <c r="AL16" i="6"/>
  <c r="AM16" i="6"/>
  <c r="AN16" i="6"/>
  <c r="AO16" i="6"/>
  <c r="AK17" i="6"/>
  <c r="AL17" i="6"/>
  <c r="AM17" i="6"/>
  <c r="AN17" i="6"/>
  <c r="AO17" i="6"/>
  <c r="AK18" i="6"/>
  <c r="AL18" i="6"/>
  <c r="AM18" i="6"/>
  <c r="AN18" i="6"/>
  <c r="AO18" i="6"/>
  <c r="AK19" i="6"/>
  <c r="AL19" i="6"/>
  <c r="AM19" i="6"/>
  <c r="AN19" i="6"/>
  <c r="AO19" i="6"/>
  <c r="AK20" i="6"/>
  <c r="AL20" i="6"/>
  <c r="AM20" i="6"/>
  <c r="AN20" i="6"/>
  <c r="AO20" i="6"/>
  <c r="AK21" i="6"/>
  <c r="AL21" i="6"/>
  <c r="AM21" i="6"/>
  <c r="AN21" i="6"/>
  <c r="AO21" i="6"/>
  <c r="AK22" i="6"/>
  <c r="AL22" i="6"/>
  <c r="AM22" i="6"/>
  <c r="AN22" i="6"/>
  <c r="AO22" i="6"/>
  <c r="AK23" i="6"/>
  <c r="AL23" i="6"/>
  <c r="AM23" i="6"/>
  <c r="AN23" i="6"/>
  <c r="AO23" i="6"/>
  <c r="AK24" i="6"/>
  <c r="AL24" i="6"/>
  <c r="AM24" i="6"/>
  <c r="AN24" i="6"/>
  <c r="AO24" i="6"/>
  <c r="AK25" i="6"/>
  <c r="AL25" i="6"/>
  <c r="AM25" i="6"/>
  <c r="AN25" i="6"/>
  <c r="AO25" i="6"/>
  <c r="AK26" i="6"/>
  <c r="AL26" i="6"/>
  <c r="AM26" i="6"/>
  <c r="AN26" i="6"/>
  <c r="AO26" i="6"/>
  <c r="AK27" i="6"/>
  <c r="AL27" i="6"/>
  <c r="AM27" i="6"/>
  <c r="AN27" i="6"/>
  <c r="AO27" i="6"/>
  <c r="AK28" i="6"/>
  <c r="AL28" i="6"/>
  <c r="AM28" i="6"/>
  <c r="AN28" i="6"/>
  <c r="AO28" i="6"/>
  <c r="AK29" i="6"/>
  <c r="AL29" i="6"/>
  <c r="AM29" i="6"/>
  <c r="AN29" i="6"/>
  <c r="AO29" i="6"/>
  <c r="AK30" i="6"/>
  <c r="AL30" i="6"/>
  <c r="AM30" i="6"/>
  <c r="AN30" i="6"/>
  <c r="AO30" i="6"/>
  <c r="AK31" i="6"/>
  <c r="AL31" i="6"/>
  <c r="AM31" i="6"/>
  <c r="AN31" i="6"/>
  <c r="AO31" i="6"/>
  <c r="AK32" i="6"/>
  <c r="AL32" i="6"/>
  <c r="AM32" i="6"/>
  <c r="AN32" i="6"/>
  <c r="AO32" i="6"/>
  <c r="AK33" i="6"/>
  <c r="AL33" i="6"/>
  <c r="AM33" i="6"/>
  <c r="AN33" i="6"/>
  <c r="AO33" i="6"/>
  <c r="AK34" i="6"/>
  <c r="AL34" i="6"/>
  <c r="AM34" i="6"/>
  <c r="AN34" i="6"/>
  <c r="AO34" i="6"/>
  <c r="AK35" i="6"/>
  <c r="AL35" i="6"/>
  <c r="AM35" i="6"/>
  <c r="AN35" i="6"/>
  <c r="AO35" i="6"/>
  <c r="AK36" i="6"/>
  <c r="AL36" i="6"/>
  <c r="AM36" i="6"/>
  <c r="AN36" i="6"/>
  <c r="AO36" i="6"/>
  <c r="AK37" i="6"/>
  <c r="AL37" i="6"/>
  <c r="AM37" i="6"/>
  <c r="AN37" i="6"/>
  <c r="AO37" i="6"/>
  <c r="AK38" i="6"/>
  <c r="AL38" i="6"/>
  <c r="AM38" i="6"/>
  <c r="AN38" i="6"/>
  <c r="AO38" i="6"/>
  <c r="AK39" i="6"/>
  <c r="AL39" i="6"/>
  <c r="AM39" i="6"/>
  <c r="AN39" i="6"/>
  <c r="AO39" i="6"/>
  <c r="AK40" i="6"/>
  <c r="AL40" i="6"/>
  <c r="AM40" i="6"/>
  <c r="AN40" i="6"/>
  <c r="AO40" i="6"/>
  <c r="AK41" i="6"/>
  <c r="AL41" i="6"/>
  <c r="AM41" i="6"/>
  <c r="AN41" i="6"/>
  <c r="AO41" i="6"/>
  <c r="AK42" i="6"/>
  <c r="AL42" i="6"/>
  <c r="AM42" i="6"/>
  <c r="AN42" i="6"/>
  <c r="AO42" i="6"/>
  <c r="AK43" i="6"/>
  <c r="AL43" i="6"/>
  <c r="AM43" i="6"/>
  <c r="AN43" i="6"/>
  <c r="AO43" i="6"/>
  <c r="AK44" i="6"/>
  <c r="AL44" i="6"/>
  <c r="AM44" i="6"/>
  <c r="AN44" i="6"/>
  <c r="AO44" i="6"/>
  <c r="AK45" i="6"/>
  <c r="AL45" i="6"/>
  <c r="AM45" i="6"/>
  <c r="AN45" i="6"/>
  <c r="AO45" i="6"/>
  <c r="AK46" i="6"/>
  <c r="AL46" i="6"/>
  <c r="AM46" i="6"/>
  <c r="AN46" i="6"/>
  <c r="AO46" i="6"/>
  <c r="AK47" i="6"/>
  <c r="AL47" i="6"/>
  <c r="AM47" i="6"/>
  <c r="AN47" i="6"/>
  <c r="AO47" i="6"/>
  <c r="AK48" i="6"/>
  <c r="AL48" i="6"/>
  <c r="AM48" i="6"/>
  <c r="AN48" i="6"/>
  <c r="AO48" i="6"/>
  <c r="AK49" i="6"/>
  <c r="AL49" i="6"/>
  <c r="AM49" i="6"/>
  <c r="AN49" i="6"/>
  <c r="AO49" i="6"/>
  <c r="AK50" i="6"/>
  <c r="AL50" i="6"/>
  <c r="AM50" i="6"/>
  <c r="AN50" i="6"/>
  <c r="AO50" i="6"/>
  <c r="AK51" i="6"/>
  <c r="AL51" i="6"/>
  <c r="AM51" i="6"/>
  <c r="AN51" i="6"/>
  <c r="AO51" i="6"/>
  <c r="AK52" i="6"/>
  <c r="AL52" i="6"/>
  <c r="AM52" i="6"/>
  <c r="AN52" i="6"/>
  <c r="AO52" i="6"/>
  <c r="AK53" i="6"/>
  <c r="AL53" i="6"/>
  <c r="AM53" i="6"/>
  <c r="AN53" i="6"/>
  <c r="AO53" i="6"/>
  <c r="AK54" i="6"/>
  <c r="AL54" i="6"/>
  <c r="AM54" i="6"/>
  <c r="AN54" i="6"/>
  <c r="AO54" i="6"/>
  <c r="AK55" i="6"/>
  <c r="AL55" i="6"/>
  <c r="AM55" i="6"/>
  <c r="AN55" i="6"/>
  <c r="AO55" i="6"/>
  <c r="AK56" i="6"/>
  <c r="AL56" i="6"/>
  <c r="AM56" i="6"/>
  <c r="AN56" i="6"/>
  <c r="AO56" i="6"/>
  <c r="AK57" i="6"/>
  <c r="AL57" i="6"/>
  <c r="AM57" i="6"/>
  <c r="AN57" i="6"/>
  <c r="AO57" i="6"/>
  <c r="AK58" i="6"/>
  <c r="AL58" i="6"/>
  <c r="AM58" i="6"/>
  <c r="AN58" i="6"/>
  <c r="AO58" i="6"/>
  <c r="AK59" i="6"/>
  <c r="AL59" i="6"/>
  <c r="AM59" i="6"/>
  <c r="AN59" i="6"/>
  <c r="AO59" i="6"/>
  <c r="AK60" i="6"/>
  <c r="AL60" i="6"/>
  <c r="AM60" i="6"/>
  <c r="AN60" i="6"/>
  <c r="AO60" i="6"/>
  <c r="AK61" i="6"/>
  <c r="AL61" i="6"/>
  <c r="AM61" i="6"/>
  <c r="AN61" i="6"/>
  <c r="AO61" i="6"/>
  <c r="AK62" i="6"/>
  <c r="AL62" i="6"/>
  <c r="AM62" i="6"/>
  <c r="AN62" i="6"/>
  <c r="AO62" i="6"/>
  <c r="AK63" i="6"/>
  <c r="AL63" i="6"/>
  <c r="AM63" i="6"/>
  <c r="AN63" i="6"/>
  <c r="AO63" i="6"/>
  <c r="AK64" i="6"/>
  <c r="AL64" i="6"/>
  <c r="AM64" i="6"/>
  <c r="AN64" i="6"/>
  <c r="AO64" i="6"/>
  <c r="AK65" i="6"/>
  <c r="AL65" i="6"/>
  <c r="AM65" i="6"/>
  <c r="AN65" i="6"/>
  <c r="AO65" i="6"/>
  <c r="AK66" i="6"/>
  <c r="AL66" i="6"/>
  <c r="AM66" i="6"/>
  <c r="AN66" i="6"/>
  <c r="AO66" i="6"/>
  <c r="AK67" i="6"/>
  <c r="AL67" i="6"/>
  <c r="AM67" i="6"/>
  <c r="AN67" i="6"/>
  <c r="AO67" i="6"/>
  <c r="AK68" i="6"/>
  <c r="AL68" i="6"/>
  <c r="AM68" i="6"/>
  <c r="AN68" i="6"/>
  <c r="AO68" i="6"/>
  <c r="AK69" i="6"/>
  <c r="AL69" i="6"/>
  <c r="AM69" i="6"/>
  <c r="AN69" i="6"/>
  <c r="AO69" i="6"/>
  <c r="AK70" i="6"/>
  <c r="AL70" i="6"/>
  <c r="AM70" i="6"/>
  <c r="AN70" i="6"/>
  <c r="AO70" i="6"/>
  <c r="AK71" i="6"/>
  <c r="AL71" i="6"/>
  <c r="AM71" i="6"/>
  <c r="AN71" i="6"/>
  <c r="AO71" i="6"/>
  <c r="AK72" i="6"/>
  <c r="AL72" i="6"/>
  <c r="AM72" i="6"/>
  <c r="AN72" i="6"/>
  <c r="AO72" i="6"/>
  <c r="AK73" i="6"/>
  <c r="AL73" i="6"/>
  <c r="AM73" i="6"/>
  <c r="AN73" i="6"/>
  <c r="AO73" i="6"/>
  <c r="AK74" i="6"/>
  <c r="AL74" i="6"/>
  <c r="AM74" i="6"/>
  <c r="AN74" i="6"/>
  <c r="AO74" i="6"/>
  <c r="AK75" i="6"/>
  <c r="AL75" i="6"/>
  <c r="AM75" i="6"/>
  <c r="AN75" i="6"/>
  <c r="AO75" i="6"/>
  <c r="AK76" i="6"/>
  <c r="AL76" i="6"/>
  <c r="AM76" i="6"/>
  <c r="AN76" i="6"/>
  <c r="AO76" i="6"/>
  <c r="AK77" i="6"/>
  <c r="AL77" i="6"/>
  <c r="AM77" i="6"/>
  <c r="AN77" i="6"/>
  <c r="AO77" i="6"/>
  <c r="AK78" i="6"/>
  <c r="AL78" i="6"/>
  <c r="AM78" i="6"/>
  <c r="AN78" i="6"/>
  <c r="AO78" i="6"/>
  <c r="AK79" i="6"/>
  <c r="AL79" i="6"/>
  <c r="AM79" i="6"/>
  <c r="AN79" i="6"/>
  <c r="AO79" i="6"/>
  <c r="AK80" i="6"/>
  <c r="AL80" i="6"/>
  <c r="AM80" i="6"/>
  <c r="AN80" i="6"/>
  <c r="AO80" i="6"/>
  <c r="AK81" i="6"/>
  <c r="AL81" i="6"/>
  <c r="AM81" i="6"/>
  <c r="AN81" i="6"/>
  <c r="AO81" i="6"/>
  <c r="AK82" i="6"/>
  <c r="AL82" i="6"/>
  <c r="AM82" i="6"/>
  <c r="AN82" i="6"/>
  <c r="AO82" i="6"/>
  <c r="AK83" i="6"/>
  <c r="AL83" i="6"/>
  <c r="AM83" i="6"/>
  <c r="AN83" i="6"/>
  <c r="AO83" i="6"/>
  <c r="AK84" i="6"/>
  <c r="AL84" i="6"/>
  <c r="AM84" i="6"/>
  <c r="AN84" i="6"/>
  <c r="AO84" i="6"/>
  <c r="AK85" i="6"/>
  <c r="AL85" i="6"/>
  <c r="AM85" i="6"/>
  <c r="AN85" i="6"/>
  <c r="AO85" i="6"/>
  <c r="AK86" i="6"/>
  <c r="AL86" i="6"/>
  <c r="AM86" i="6"/>
  <c r="AN86" i="6"/>
  <c r="AO86" i="6"/>
  <c r="AK87" i="6"/>
  <c r="AL87" i="6"/>
  <c r="AM87" i="6"/>
  <c r="AN87" i="6"/>
  <c r="AO87" i="6"/>
  <c r="AK88" i="6"/>
  <c r="AL88" i="6"/>
  <c r="AM88" i="6"/>
  <c r="AN88" i="6"/>
  <c r="AO88" i="6"/>
  <c r="AK89" i="6"/>
  <c r="AL89" i="6"/>
  <c r="AM89" i="6"/>
  <c r="AN89" i="6"/>
  <c r="AO89" i="6"/>
  <c r="AK90" i="6"/>
  <c r="AL90" i="6"/>
  <c r="AM90" i="6"/>
  <c r="AN90" i="6"/>
  <c r="AO90" i="6"/>
  <c r="AK91" i="6"/>
  <c r="AL91" i="6"/>
  <c r="AM91" i="6"/>
  <c r="AN91" i="6"/>
  <c r="AO91" i="6"/>
  <c r="AK92" i="6"/>
  <c r="AL92" i="6"/>
  <c r="AM92" i="6"/>
  <c r="AN92" i="6"/>
  <c r="AO92" i="6"/>
  <c r="AK93" i="6"/>
  <c r="AL93" i="6"/>
  <c r="AM93" i="6"/>
  <c r="AN93" i="6"/>
  <c r="AO93" i="6"/>
  <c r="AK94" i="6"/>
  <c r="AL94" i="6"/>
  <c r="AM94" i="6"/>
  <c r="AN94" i="6"/>
  <c r="AO94" i="6"/>
  <c r="AK95" i="6"/>
  <c r="AL95" i="6"/>
  <c r="AM95" i="6"/>
  <c r="AN95" i="6"/>
  <c r="AO95" i="6"/>
  <c r="AK96" i="6"/>
  <c r="AL96" i="6"/>
  <c r="AM96" i="6"/>
  <c r="AN96" i="6"/>
  <c r="AO96" i="6"/>
  <c r="AK97" i="6"/>
  <c r="AL97" i="6"/>
  <c r="AM97" i="6"/>
  <c r="AN97" i="6"/>
  <c r="AO97" i="6"/>
  <c r="AK98" i="6"/>
  <c r="AL98" i="6"/>
  <c r="AM98" i="6"/>
  <c r="AN98" i="6"/>
  <c r="AO98" i="6"/>
  <c r="AK99" i="6"/>
  <c r="AL99" i="6"/>
  <c r="AM99" i="6"/>
  <c r="AN99" i="6"/>
  <c r="AO99" i="6"/>
  <c r="AK100" i="6"/>
  <c r="AL100" i="6"/>
  <c r="AM100" i="6"/>
  <c r="AN100" i="6"/>
  <c r="AO100" i="6"/>
  <c r="AK101" i="6"/>
  <c r="AL101" i="6"/>
  <c r="AM101" i="6"/>
  <c r="AN101" i="6"/>
  <c r="AO101" i="6"/>
  <c r="AK102" i="6"/>
  <c r="AL102" i="6"/>
  <c r="AM102" i="6"/>
  <c r="AN102" i="6"/>
  <c r="AO102" i="6"/>
  <c r="AK103" i="6"/>
  <c r="AL103" i="6"/>
  <c r="AM103" i="6"/>
  <c r="AN103" i="6"/>
  <c r="AO103" i="6"/>
  <c r="AK104" i="6"/>
  <c r="AL104" i="6"/>
  <c r="AM104" i="6"/>
  <c r="AN104" i="6"/>
  <c r="AO104" i="6"/>
  <c r="AK105" i="6"/>
  <c r="AL105" i="6"/>
  <c r="AM105" i="6"/>
  <c r="AN105" i="6"/>
  <c r="AO105" i="6"/>
  <c r="AK106" i="6"/>
  <c r="AL106" i="6"/>
  <c r="AM106" i="6"/>
  <c r="AN106" i="6"/>
  <c r="AO106" i="6"/>
  <c r="AK107" i="6"/>
  <c r="AL107" i="6"/>
  <c r="AM107" i="6"/>
  <c r="AN107" i="6"/>
  <c r="AO107" i="6"/>
  <c r="AK108" i="6"/>
  <c r="AL108" i="6"/>
  <c r="AM108" i="6"/>
  <c r="AN108" i="6"/>
  <c r="AO108" i="6"/>
  <c r="AK109" i="6"/>
  <c r="AL109" i="6"/>
  <c r="AM109" i="6"/>
  <c r="AN109" i="6"/>
  <c r="AO109" i="6"/>
  <c r="AK110" i="6"/>
  <c r="AL110" i="6"/>
  <c r="AM110" i="6"/>
  <c r="AN110" i="6"/>
  <c r="AO110" i="6"/>
  <c r="AK111" i="6"/>
  <c r="AL111" i="6"/>
  <c r="AM111" i="6"/>
  <c r="AN111" i="6"/>
  <c r="AO111" i="6"/>
  <c r="AK112" i="6"/>
  <c r="AL112" i="6"/>
  <c r="AM112" i="6"/>
  <c r="AN112" i="6"/>
  <c r="AO112" i="6"/>
  <c r="AK113" i="6"/>
  <c r="AL113" i="6"/>
  <c r="AM113" i="6"/>
  <c r="AN113" i="6"/>
  <c r="AO113" i="6"/>
  <c r="AK114" i="6"/>
  <c r="AL114" i="6"/>
  <c r="AM114" i="6"/>
  <c r="AN114" i="6"/>
  <c r="AO114" i="6"/>
  <c r="AK115" i="6"/>
  <c r="AL115" i="6"/>
  <c r="AM115" i="6"/>
  <c r="AN115" i="6"/>
  <c r="AO115" i="6"/>
  <c r="AK116" i="6"/>
  <c r="AL116" i="6"/>
  <c r="AM116" i="6"/>
  <c r="AN116" i="6"/>
  <c r="AO116" i="6"/>
  <c r="AK117" i="6"/>
  <c r="AL117" i="6"/>
  <c r="AM117" i="6"/>
  <c r="AN117" i="6"/>
  <c r="AO117" i="6"/>
  <c r="AK118" i="6"/>
  <c r="AL118" i="6"/>
  <c r="AM118" i="6"/>
  <c r="AN118" i="6"/>
  <c r="AO118" i="6"/>
  <c r="AK119" i="6"/>
  <c r="AL119" i="6"/>
  <c r="AM119" i="6"/>
  <c r="AN119" i="6"/>
  <c r="AO119" i="6"/>
  <c r="AK120" i="6"/>
  <c r="AL120" i="6"/>
  <c r="AM120" i="6"/>
  <c r="AN120" i="6"/>
  <c r="AO120" i="6"/>
  <c r="AK121" i="6"/>
  <c r="AL121" i="6"/>
  <c r="AM121" i="6"/>
  <c r="AN121" i="6"/>
  <c r="AO121" i="6"/>
  <c r="AK122" i="6"/>
  <c r="AL122" i="6"/>
  <c r="AM122" i="6"/>
  <c r="AN122" i="6"/>
  <c r="AO122" i="6"/>
  <c r="AK123" i="6"/>
  <c r="AL123" i="6"/>
  <c r="AM123" i="6"/>
  <c r="AN123" i="6"/>
  <c r="AO123" i="6"/>
  <c r="AK124" i="6"/>
  <c r="AL124" i="6"/>
  <c r="AM124" i="6"/>
  <c r="AN124" i="6"/>
  <c r="AO124" i="6"/>
  <c r="AK125" i="6"/>
  <c r="AL125" i="6"/>
  <c r="AM125" i="6"/>
  <c r="AN125" i="6"/>
  <c r="AO125" i="6"/>
  <c r="AK126" i="6"/>
  <c r="AL126" i="6"/>
  <c r="AM126" i="6"/>
  <c r="AN126" i="6"/>
  <c r="AO126" i="6"/>
  <c r="AK127" i="6"/>
  <c r="AL127" i="6"/>
  <c r="AM127" i="6"/>
  <c r="AN127" i="6"/>
  <c r="AO127" i="6"/>
  <c r="AK128" i="6"/>
  <c r="AL128" i="6"/>
  <c r="AM128" i="6"/>
  <c r="AN128" i="6"/>
  <c r="AO128" i="6"/>
  <c r="AK129" i="6"/>
  <c r="AL129" i="6"/>
  <c r="AM129" i="6"/>
  <c r="AN129" i="6"/>
  <c r="AO129" i="6"/>
  <c r="AK130" i="6"/>
  <c r="AL130" i="6"/>
  <c r="AM130" i="6"/>
  <c r="AN130" i="6"/>
  <c r="AO130" i="6"/>
  <c r="AK131" i="6"/>
  <c r="AL131" i="6"/>
  <c r="AM131" i="6"/>
  <c r="AN131" i="6"/>
  <c r="AO131" i="6"/>
  <c r="AK132" i="6"/>
  <c r="AL132" i="6"/>
  <c r="AM132" i="6"/>
  <c r="AN132" i="6"/>
  <c r="AO132" i="6"/>
  <c r="AK133" i="6"/>
  <c r="AL133" i="6"/>
  <c r="AM133" i="6"/>
  <c r="AN133" i="6"/>
  <c r="AO133" i="6"/>
  <c r="AK134" i="6"/>
  <c r="AL134" i="6"/>
  <c r="AM134" i="6"/>
  <c r="AN134" i="6"/>
  <c r="AO134" i="6"/>
  <c r="AK135" i="6"/>
  <c r="AL135" i="6"/>
  <c r="AM135" i="6"/>
  <c r="AN135" i="6"/>
  <c r="AO135" i="6"/>
  <c r="AK136" i="6"/>
  <c r="AL136" i="6"/>
  <c r="AM136" i="6"/>
  <c r="AN136" i="6"/>
  <c r="AO136" i="6"/>
  <c r="AK137" i="6"/>
  <c r="AL137" i="6"/>
  <c r="AM137" i="6"/>
  <c r="AN137" i="6"/>
  <c r="AO137" i="6"/>
  <c r="AK138" i="6"/>
  <c r="AL138" i="6"/>
  <c r="AM138" i="6"/>
  <c r="AN138" i="6"/>
  <c r="AO138" i="6"/>
  <c r="AK139" i="6"/>
  <c r="AL139" i="6"/>
  <c r="AM139" i="6"/>
  <c r="AN139" i="6"/>
  <c r="AO139" i="6"/>
  <c r="AK140" i="6"/>
  <c r="AL140" i="6"/>
  <c r="AM140" i="6"/>
  <c r="AN140" i="6"/>
  <c r="AO140" i="6"/>
  <c r="AK141" i="6"/>
  <c r="AL141" i="6"/>
  <c r="AM141" i="6"/>
  <c r="AN141" i="6"/>
  <c r="AO141" i="6"/>
  <c r="AK142" i="6"/>
  <c r="AL142" i="6"/>
  <c r="AM142" i="6"/>
  <c r="AN142" i="6"/>
  <c r="AO142" i="6"/>
  <c r="AK143" i="6"/>
  <c r="AL143" i="6"/>
  <c r="AM143" i="6"/>
  <c r="AN143" i="6"/>
  <c r="AO143" i="6"/>
  <c r="AK144" i="6"/>
  <c r="AL144" i="6"/>
  <c r="AM144" i="6"/>
  <c r="AN144" i="6"/>
  <c r="AO144" i="6"/>
  <c r="AK145" i="6"/>
  <c r="AL145" i="6"/>
  <c r="AM145" i="6"/>
  <c r="AN145" i="6"/>
  <c r="AO145" i="6"/>
  <c r="P22" i="11"/>
  <c r="Q22" i="11"/>
  <c r="R22" i="11"/>
  <c r="S22" i="11"/>
  <c r="T22" i="11"/>
  <c r="P23" i="11"/>
  <c r="Q23" i="11"/>
  <c r="R23" i="11"/>
  <c r="S23" i="11"/>
  <c r="T23" i="11"/>
  <c r="P24" i="11"/>
  <c r="Q24" i="11"/>
  <c r="R24" i="11"/>
  <c r="S24" i="11"/>
  <c r="T24" i="11"/>
  <c r="P25" i="11"/>
  <c r="Q25" i="11"/>
  <c r="R25" i="11"/>
  <c r="S25" i="11"/>
  <c r="T25" i="11"/>
  <c r="P26" i="11"/>
  <c r="Q26" i="11"/>
  <c r="R26" i="11"/>
  <c r="S26" i="11"/>
  <c r="T26" i="11"/>
  <c r="P27" i="11"/>
  <c r="Q27" i="11"/>
  <c r="R27" i="11"/>
  <c r="S27" i="11"/>
  <c r="T27" i="11"/>
  <c r="P28" i="11"/>
  <c r="Q28" i="11"/>
  <c r="R28" i="11"/>
  <c r="S28" i="11"/>
  <c r="T28" i="11"/>
  <c r="P29" i="11"/>
  <c r="Q29" i="11"/>
  <c r="R29" i="11"/>
  <c r="S29" i="11"/>
  <c r="T29" i="11"/>
  <c r="P30" i="11"/>
  <c r="Q30" i="11"/>
  <c r="R30" i="11"/>
  <c r="S30" i="11"/>
  <c r="T30" i="11"/>
  <c r="P31" i="11"/>
  <c r="Q31" i="11"/>
  <c r="R31" i="11"/>
  <c r="S31" i="11"/>
  <c r="T31" i="11"/>
  <c r="P32" i="11"/>
  <c r="Q32" i="11"/>
  <c r="R32" i="11"/>
  <c r="S32" i="11"/>
  <c r="T32" i="11"/>
  <c r="P33" i="11"/>
  <c r="Q33" i="11"/>
  <c r="R33" i="11"/>
  <c r="S33" i="11"/>
  <c r="T33" i="11"/>
  <c r="P34" i="11"/>
  <c r="Q34" i="11"/>
  <c r="R34" i="11"/>
  <c r="S34" i="11"/>
  <c r="T34" i="11"/>
  <c r="P35" i="11"/>
  <c r="Q35" i="11"/>
  <c r="R35" i="11"/>
  <c r="S35" i="11"/>
  <c r="T35" i="11"/>
  <c r="P36" i="11"/>
  <c r="Q36" i="11"/>
  <c r="R36" i="11"/>
  <c r="S36" i="11"/>
  <c r="T36" i="11"/>
  <c r="P37" i="11"/>
  <c r="Q37" i="11"/>
  <c r="R37" i="11"/>
  <c r="S37" i="11"/>
  <c r="T37" i="11"/>
  <c r="C38" i="11"/>
  <c r="T14" i="11"/>
  <c r="AI49" i="6"/>
  <c r="AI48" i="6"/>
  <c r="AI47" i="6"/>
  <c r="AI46" i="6"/>
  <c r="AI45" i="6"/>
  <c r="AI44" i="6"/>
  <c r="AI43" i="6"/>
  <c r="AI42" i="6"/>
  <c r="AE42" i="6"/>
  <c r="AH49" i="6"/>
  <c r="AH48" i="6"/>
  <c r="AH47" i="6"/>
  <c r="AH46" i="6"/>
  <c r="AH45" i="6"/>
  <c r="AH44" i="6"/>
  <c r="AH43" i="6"/>
  <c r="AH42" i="6"/>
  <c r="AD42" i="6"/>
  <c r="AG49" i="6"/>
  <c r="AG48" i="6"/>
  <c r="AG47" i="6"/>
  <c r="AG46" i="6"/>
  <c r="AG45" i="6"/>
  <c r="AG44" i="6"/>
  <c r="AG43" i="6"/>
  <c r="AG42" i="6"/>
  <c r="AC42" i="6"/>
  <c r="AE30" i="6"/>
  <c r="AE44" i="6"/>
  <c r="AE43" i="6"/>
  <c r="AD44" i="6"/>
  <c r="AD43" i="6"/>
  <c r="AC44" i="6"/>
  <c r="AC43" i="6"/>
  <c r="AI37" i="6"/>
  <c r="AI36" i="6"/>
  <c r="AI35" i="6"/>
  <c r="AI34" i="6"/>
  <c r="AI33" i="6"/>
  <c r="AI32" i="6"/>
  <c r="AI31" i="6"/>
  <c r="AI30" i="6"/>
  <c r="AH37" i="6"/>
  <c r="AH36" i="6"/>
  <c r="AH35" i="6"/>
  <c r="AH34" i="6"/>
  <c r="AH33" i="6"/>
  <c r="AH32" i="6"/>
  <c r="AH31" i="6"/>
  <c r="AH30" i="6"/>
  <c r="AG37" i="6"/>
  <c r="AG36" i="6"/>
  <c r="AG35" i="6"/>
  <c r="AG34" i="6"/>
  <c r="AG33" i="6"/>
  <c r="AG32" i="6"/>
  <c r="AG31" i="6"/>
  <c r="AG30" i="6"/>
  <c r="AE32" i="6"/>
  <c r="AE31" i="6"/>
  <c r="AD32" i="6"/>
  <c r="AD31" i="6"/>
  <c r="AD30" i="6"/>
  <c r="AC32" i="6"/>
  <c r="AC31" i="6"/>
  <c r="AC30" i="6"/>
  <c r="AH61" i="6"/>
  <c r="AH60" i="6"/>
  <c r="AH59" i="6"/>
  <c r="AH58" i="6"/>
  <c r="AH57" i="6"/>
  <c r="AH56" i="6"/>
  <c r="AH55" i="6"/>
  <c r="AH54" i="6"/>
  <c r="AG61" i="6"/>
  <c r="AG60" i="6"/>
  <c r="AG59" i="6"/>
  <c r="AG58" i="6"/>
  <c r="AG57" i="6"/>
  <c r="AG56" i="6"/>
  <c r="AG55" i="6"/>
  <c r="AG54" i="6"/>
  <c r="AD56" i="6"/>
  <c r="AD55" i="6"/>
  <c r="AD54" i="6"/>
  <c r="AC56" i="6"/>
  <c r="AC55" i="6"/>
  <c r="AC54" i="6"/>
  <c r="AC8" i="6"/>
  <c r="AG18" i="6"/>
  <c r="AG19" i="6"/>
  <c r="AG20" i="6"/>
  <c r="AG21" i="6"/>
  <c r="AG22" i="6"/>
  <c r="AG23" i="6"/>
  <c r="AG24" i="6"/>
  <c r="AG17" i="6"/>
  <c r="AG8" i="6"/>
  <c r="AG10" i="6"/>
  <c r="AG9" i="6"/>
  <c r="AG25" i="6"/>
  <c r="AS30" i="2"/>
  <c r="R35" i="6"/>
  <c r="S35" i="6" s="1"/>
  <c r="R30" i="6"/>
  <c r="S30" i="6" s="1"/>
  <c r="AS8" i="5"/>
  <c r="AS7" i="5"/>
  <c r="AG11" i="6"/>
  <c r="T13" i="11"/>
  <c r="T12" i="11"/>
  <c r="AK6" i="6"/>
  <c r="AL6" i="6"/>
  <c r="AM6" i="6"/>
  <c r="AN6" i="6"/>
  <c r="AO6" i="6"/>
  <c r="AK7" i="6"/>
  <c r="AL7" i="6"/>
  <c r="AM7" i="6"/>
  <c r="AN7" i="6"/>
  <c r="AO7" i="6"/>
  <c r="AK5" i="6"/>
  <c r="AL5" i="6"/>
  <c r="AM5" i="6"/>
  <c r="AN5" i="6"/>
  <c r="AO5" i="6"/>
  <c r="AO4" i="6"/>
  <c r="AN4" i="6"/>
  <c r="AM4" i="6"/>
  <c r="AL4" i="6"/>
  <c r="AK4" i="6"/>
  <c r="AS16" i="5"/>
  <c r="AD10" i="6"/>
  <c r="AD9" i="6"/>
  <c r="AD8" i="6"/>
  <c r="AC18" i="6"/>
  <c r="AC19" i="6"/>
  <c r="AC20" i="6"/>
  <c r="AC21" i="6"/>
  <c r="AC22" i="6"/>
  <c r="AC23" i="6"/>
  <c r="AC24" i="6"/>
  <c r="AC17" i="6"/>
  <c r="AH24" i="6"/>
  <c r="AH23" i="6"/>
  <c r="AH22" i="6"/>
  <c r="AH21" i="6"/>
  <c r="AH20" i="6"/>
  <c r="AH19" i="6"/>
  <c r="AH18" i="6"/>
  <c r="AH17" i="6"/>
  <c r="AH10" i="6"/>
  <c r="AH9" i="6"/>
  <c r="AH8" i="6"/>
  <c r="AC10" i="6"/>
  <c r="AC9" i="6"/>
  <c r="BX53" i="4"/>
  <c r="S36" i="10" s="1"/>
  <c r="BW53" i="4"/>
  <c r="R36" i="10" s="1"/>
  <c r="BV53" i="4"/>
  <c r="Q36" i="10" s="1"/>
  <c r="BU53" i="4"/>
  <c r="P36" i="10" s="1"/>
  <c r="AT27" i="5"/>
  <c r="AT28" i="5"/>
  <c r="AV27" i="5"/>
  <c r="AS31" i="2"/>
  <c r="AU31" i="2"/>
  <c r="AT32" i="2"/>
  <c r="AT31" i="2"/>
  <c r="BX29" i="4"/>
  <c r="S33" i="10" s="1"/>
  <c r="BW29" i="4"/>
  <c r="R33" i="10" s="1"/>
  <c r="BV29" i="4"/>
  <c r="Q33" i="10" s="1"/>
  <c r="BU29" i="4"/>
  <c r="P33" i="10" s="1"/>
  <c r="BX5" i="4"/>
  <c r="S30" i="10" s="1"/>
  <c r="BW5" i="4"/>
  <c r="R30" i="10" s="1"/>
  <c r="BV5" i="4"/>
  <c r="Q30" i="10" s="1"/>
  <c r="BU5" i="4"/>
  <c r="P30" i="10" s="1"/>
  <c r="BR53" i="4"/>
  <c r="S27" i="10" s="1"/>
  <c r="BQ53" i="4"/>
  <c r="R27" i="10" s="1"/>
  <c r="BP53" i="4"/>
  <c r="Q27" i="10" s="1"/>
  <c r="BO53" i="4"/>
  <c r="P27" i="10" s="1"/>
  <c r="BR29" i="4"/>
  <c r="S24" i="10" s="1"/>
  <c r="BQ29" i="4"/>
  <c r="R24" i="10" s="1"/>
  <c r="BP29" i="4"/>
  <c r="Q24" i="10" s="1"/>
  <c r="BO29" i="4"/>
  <c r="P24" i="10" s="1"/>
  <c r="BR5" i="4"/>
  <c r="S21" i="10" s="1"/>
  <c r="BQ5" i="4"/>
  <c r="R21" i="10" s="1"/>
  <c r="BP5" i="4"/>
  <c r="Q21" i="10" s="1"/>
  <c r="BO5" i="4"/>
  <c r="P21" i="10" s="1"/>
  <c r="BI53" i="4"/>
  <c r="P18" i="10" s="1"/>
  <c r="BL53" i="4"/>
  <c r="S18" i="10" s="1"/>
  <c r="BK53" i="4"/>
  <c r="R18" i="10" s="1"/>
  <c r="BJ53" i="4"/>
  <c r="Q18" i="10" s="1"/>
  <c r="BL29" i="4"/>
  <c r="S15" i="10" s="1"/>
  <c r="BK29" i="4"/>
  <c r="R15" i="10" s="1"/>
  <c r="BJ29" i="4"/>
  <c r="Q15" i="10" s="1"/>
  <c r="BI29" i="4"/>
  <c r="P15" i="10" s="1"/>
  <c r="BL5" i="4"/>
  <c r="BL27" i="4" s="1"/>
  <c r="BJ5" i="4"/>
  <c r="BJ27" i="4" s="1"/>
  <c r="BK5" i="4"/>
  <c r="BK27" i="4" s="1"/>
  <c r="BI5" i="4"/>
  <c r="BI27" i="4" s="1"/>
  <c r="AT26" i="5"/>
  <c r="O4" i="4"/>
  <c r="O5" i="4"/>
  <c r="O6" i="4"/>
  <c r="T51" i="2"/>
  <c r="AV18" i="5"/>
  <c r="AV26" i="5"/>
  <c r="AV25" i="5"/>
  <c r="AV24" i="5"/>
  <c r="AV23" i="5"/>
  <c r="AV22" i="5"/>
  <c r="AV21" i="5"/>
  <c r="AV20" i="5"/>
  <c r="AV19" i="5"/>
  <c r="AT25" i="5"/>
  <c r="AT24" i="5"/>
  <c r="AT23" i="5"/>
  <c r="AT22" i="5"/>
  <c r="AT21" i="5"/>
  <c r="AT20" i="5"/>
  <c r="AT19" i="5"/>
  <c r="AT18" i="5"/>
  <c r="AV28" i="5"/>
  <c r="AV36" i="5"/>
  <c r="AT36" i="5"/>
  <c r="AV35" i="5"/>
  <c r="AT35" i="5"/>
  <c r="AV34" i="5"/>
  <c r="AT34" i="5"/>
  <c r="AV33" i="5"/>
  <c r="AT33" i="5"/>
  <c r="AV32" i="5"/>
  <c r="AT32" i="5"/>
  <c r="AV31" i="5"/>
  <c r="AT31" i="5"/>
  <c r="AV30" i="5"/>
  <c r="AT30" i="5"/>
  <c r="AV29" i="5"/>
  <c r="AT29" i="5"/>
  <c r="AT17" i="5"/>
  <c r="AV33" i="2"/>
  <c r="AV34" i="2"/>
  <c r="AV35" i="2"/>
  <c r="AV36" i="2"/>
  <c r="AV37" i="2"/>
  <c r="AV38" i="2"/>
  <c r="AV39" i="2"/>
  <c r="AV40" i="2"/>
  <c r="AT33" i="2"/>
  <c r="AT34" i="2"/>
  <c r="AT35" i="2"/>
  <c r="AT36" i="2"/>
  <c r="AT37" i="2"/>
  <c r="AT38" i="2"/>
  <c r="AT39" i="2"/>
  <c r="AT40" i="2"/>
  <c r="AV32" i="2"/>
  <c r="AV23" i="2"/>
  <c r="AV24" i="2"/>
  <c r="AV25" i="2"/>
  <c r="AV26" i="2"/>
  <c r="AV27" i="2"/>
  <c r="AV28" i="2"/>
  <c r="AV29" i="2"/>
  <c r="AV30" i="2"/>
  <c r="AT23" i="2"/>
  <c r="AT24" i="2"/>
  <c r="AT25" i="2"/>
  <c r="AT26" i="2"/>
  <c r="AT27" i="2"/>
  <c r="AT28" i="2"/>
  <c r="AT29" i="2"/>
  <c r="AT30" i="2"/>
  <c r="AV22" i="2"/>
  <c r="AT22" i="2"/>
  <c r="AV31" i="2"/>
  <c r="AV21" i="2"/>
  <c r="AT21" i="2"/>
  <c r="AF11" i="6" l="1" a="1"/>
  <c r="AF11" i="6" s="1"/>
  <c r="AR4" i="6" a="1"/>
  <c r="AR4" i="6" s="1"/>
  <c r="AU5" i="6" a="1"/>
  <c r="AU5" i="6" s="1"/>
  <c r="AS6" i="6" a="1"/>
  <c r="AS6" i="6" s="1"/>
  <c r="AU4" i="6"/>
  <c r="AF25" i="6" a="1"/>
  <c r="AF25" i="6" s="1"/>
  <c r="AF10" i="6" a="1"/>
  <c r="AF10" i="6" s="1"/>
  <c r="AF8" i="6" a="1"/>
  <c r="AF8" i="6" s="1"/>
  <c r="AS7" i="6" a="1"/>
  <c r="AS7" i="6" s="1"/>
  <c r="P12" i="10"/>
  <c r="Q12" i="10"/>
  <c r="R12" i="10"/>
  <c r="S12" i="10"/>
  <c r="AF21" i="6" a="1"/>
  <c r="AF21" i="6" s="1"/>
  <c r="AF20" i="6" a="1"/>
  <c r="AF20" i="6" s="1"/>
  <c r="AF18" i="6" a="1"/>
  <c r="AF18" i="6" s="1"/>
  <c r="AF17" i="6" a="1"/>
  <c r="AF17" i="6" s="1"/>
  <c r="AF24" i="6" a="1"/>
  <c r="AF24" i="6" s="1"/>
  <c r="AF19" i="6" a="1"/>
  <c r="AF19" i="6" s="1"/>
  <c r="AF23" i="6" a="1"/>
  <c r="AF23" i="6" s="1"/>
  <c r="AF22" i="6" a="1"/>
  <c r="AF22" i="6" s="1"/>
  <c r="AH25" i="6"/>
  <c r="AH11" i="6"/>
  <c r="AT16" i="5"/>
  <c r="AE43" i="10" s="1"/>
  <c r="AS19" i="2" l="1"/>
  <c r="AD10" i="10" s="1"/>
  <c r="AF44" i="10"/>
  <c r="AF45" i="10"/>
  <c r="AF46" i="10"/>
  <c r="AF47" i="10"/>
  <c r="AF48" i="10"/>
  <c r="AF49" i="10"/>
  <c r="AF50" i="10"/>
  <c r="AF51" i="10"/>
  <c r="AF52" i="10"/>
  <c r="AD52" i="10"/>
  <c r="AD51" i="10"/>
  <c r="AD50" i="10"/>
  <c r="AD49" i="10"/>
  <c r="AD48" i="10"/>
  <c r="AD47" i="10"/>
  <c r="AD46" i="10"/>
  <c r="AD45" i="10"/>
  <c r="AD44" i="10"/>
  <c r="AF22" i="10"/>
  <c r="AF23" i="10"/>
  <c r="AF24" i="10"/>
  <c r="AF25" i="10"/>
  <c r="AF26" i="10"/>
  <c r="AF27" i="10"/>
  <c r="AF28" i="10"/>
  <c r="AF29" i="10"/>
  <c r="AF30" i="10"/>
  <c r="AD30" i="10"/>
  <c r="AD29" i="10"/>
  <c r="AD28" i="10"/>
  <c r="AD27" i="10"/>
  <c r="AD26" i="10"/>
  <c r="AD25" i="10"/>
  <c r="AD24" i="10"/>
  <c r="AD23" i="10"/>
  <c r="AD22" i="10"/>
  <c r="AE34" i="10" l="1"/>
  <c r="AG34" i="10"/>
  <c r="AV17" i="5"/>
  <c r="AG33" i="10" s="1"/>
  <c r="AV16" i="5"/>
  <c r="AG43" i="10" s="1"/>
  <c r="AV15" i="5"/>
  <c r="AG32" i="10" s="1"/>
  <c r="AG52" i="10"/>
  <c r="AE52" i="10"/>
  <c r="AG51" i="10"/>
  <c r="AE51" i="10"/>
  <c r="AG50" i="10"/>
  <c r="AE50" i="10"/>
  <c r="AG49" i="10"/>
  <c r="AE49" i="10"/>
  <c r="AG48" i="10"/>
  <c r="AE48" i="10"/>
  <c r="AG47" i="10"/>
  <c r="AE47" i="10"/>
  <c r="AG46" i="10"/>
  <c r="AE46" i="10"/>
  <c r="AG45" i="10"/>
  <c r="AE45" i="10"/>
  <c r="AG23" i="10"/>
  <c r="AG24" i="10"/>
  <c r="AG25" i="10"/>
  <c r="AG26" i="10"/>
  <c r="AG27" i="10"/>
  <c r="AG28" i="10"/>
  <c r="AG29" i="10"/>
  <c r="AG30" i="10"/>
  <c r="AE24" i="10"/>
  <c r="AE23" i="10"/>
  <c r="AE25" i="10"/>
  <c r="AE26" i="10"/>
  <c r="AE27" i="10"/>
  <c r="AE28" i="10"/>
  <c r="AE29" i="10"/>
  <c r="AE30" i="10"/>
  <c r="AE20" i="10"/>
  <c r="AS15" i="5"/>
  <c r="AD32" i="10" s="1"/>
  <c r="AU7" i="5"/>
  <c r="AS17" i="5"/>
  <c r="AD33" i="10" s="1"/>
  <c r="AS18" i="5"/>
  <c r="AD34" i="10" s="1"/>
  <c r="AS19" i="5"/>
  <c r="AD35" i="10" s="1"/>
  <c r="AS20" i="5"/>
  <c r="AD36" i="10" s="1"/>
  <c r="AS21" i="5"/>
  <c r="AD37" i="10" s="1"/>
  <c r="AS22" i="5"/>
  <c r="AD38" i="10" s="1"/>
  <c r="AS23" i="5"/>
  <c r="AD39" i="10" s="1"/>
  <c r="AS24" i="5"/>
  <c r="AD40" i="10" s="1"/>
  <c r="AS25" i="5"/>
  <c r="AD41" i="10" s="1"/>
  <c r="AS26" i="5"/>
  <c r="AD42" i="10" s="1"/>
  <c r="AD43" i="10"/>
  <c r="AU15" i="5"/>
  <c r="AF32" i="10" s="1"/>
  <c r="AU16" i="5"/>
  <c r="AF43" i="10" s="1"/>
  <c r="AU17" i="5"/>
  <c r="AF33" i="10" s="1"/>
  <c r="AU18" i="5"/>
  <c r="AF34" i="10" s="1"/>
  <c r="AU19" i="5"/>
  <c r="AF35" i="10" s="1"/>
  <c r="AU20" i="5"/>
  <c r="AF36" i="10" s="1"/>
  <c r="AU21" i="5"/>
  <c r="AF37" i="10" s="1"/>
  <c r="AU22" i="5"/>
  <c r="AF38" i="10" s="1"/>
  <c r="AU23" i="5"/>
  <c r="AF39" i="10" s="1"/>
  <c r="AU24" i="5"/>
  <c r="AF40" i="10" s="1"/>
  <c r="AU25" i="5"/>
  <c r="AF41" i="10" s="1"/>
  <c r="AU26" i="5"/>
  <c r="AF42" i="10" s="1"/>
  <c r="AE39" i="10"/>
  <c r="AL7" i="5"/>
  <c r="AL8" i="5"/>
  <c r="AG42" i="10"/>
  <c r="AE42" i="10"/>
  <c r="AG41" i="10"/>
  <c r="AE41" i="10"/>
  <c r="AG40" i="10"/>
  <c r="AE40" i="10"/>
  <c r="AG39" i="10"/>
  <c r="AG38" i="10"/>
  <c r="AE38" i="10"/>
  <c r="AG37" i="10"/>
  <c r="AE37" i="10"/>
  <c r="AG36" i="10"/>
  <c r="AE36" i="10"/>
  <c r="AG35" i="10"/>
  <c r="AE35" i="10"/>
  <c r="AE33" i="10"/>
  <c r="AT15" i="5"/>
  <c r="AE32" i="10" s="1"/>
  <c r="AV8" i="5"/>
  <c r="AU8" i="5"/>
  <c r="AT8" i="5"/>
  <c r="AP8" i="5"/>
  <c r="AO8" i="5"/>
  <c r="AN8" i="5"/>
  <c r="AM8" i="5"/>
  <c r="AK8" i="5"/>
  <c r="AJ8" i="5"/>
  <c r="AV7" i="5"/>
  <c r="AT7" i="5"/>
  <c r="AP7" i="5"/>
  <c r="AO7" i="5"/>
  <c r="AN7" i="5"/>
  <c r="AM7" i="5"/>
  <c r="AK7" i="5"/>
  <c r="AJ7" i="5"/>
  <c r="AE22" i="10" l="1"/>
  <c r="AE44" i="10"/>
  <c r="AG22" i="10"/>
  <c r="AG44" i="10"/>
  <c r="AS37" i="5"/>
  <c r="AU37" i="5"/>
  <c r="AT37" i="5"/>
  <c r="AV37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AY20" i="2"/>
  <c r="AG13" i="10"/>
  <c r="AG14" i="10"/>
  <c r="AG15" i="10"/>
  <c r="AG16" i="10"/>
  <c r="AG17" i="10"/>
  <c r="AG18" i="10"/>
  <c r="AG19" i="10"/>
  <c r="AG20" i="10"/>
  <c r="AG12" i="10"/>
  <c r="AG11" i="10"/>
  <c r="AV20" i="2"/>
  <c r="AG21" i="10" s="1"/>
  <c r="AV19" i="2"/>
  <c r="AG10" i="10" s="1"/>
  <c r="AE12" i="10"/>
  <c r="AE11" i="10"/>
  <c r="AT20" i="2"/>
  <c r="AE21" i="10" s="1"/>
  <c r="AT19" i="2"/>
  <c r="AE10" i="10" s="1"/>
  <c r="AE13" i="10"/>
  <c r="AE14" i="10"/>
  <c r="AE15" i="10"/>
  <c r="AE16" i="10"/>
  <c r="AE17" i="10"/>
  <c r="AE18" i="10"/>
  <c r="AE19" i="10"/>
  <c r="AS22" i="2"/>
  <c r="AD12" i="10" s="1"/>
  <c r="AD20" i="10"/>
  <c r="AS20" i="2"/>
  <c r="AD21" i="10" s="1"/>
  <c r="AU20" i="2"/>
  <c r="AF21" i="10" s="1"/>
  <c r="AS21" i="2"/>
  <c r="AD11" i="10" s="1"/>
  <c r="AU21" i="2"/>
  <c r="AF11" i="10" s="1"/>
  <c r="AU22" i="2"/>
  <c r="AF12" i="10" s="1"/>
  <c r="AS23" i="2"/>
  <c r="AD13" i="10" s="1"/>
  <c r="AU23" i="2"/>
  <c r="AF13" i="10" s="1"/>
  <c r="AS24" i="2"/>
  <c r="AD14" i="10" s="1"/>
  <c r="AU24" i="2"/>
  <c r="AF14" i="10" s="1"/>
  <c r="AS25" i="2"/>
  <c r="AD15" i="10" s="1"/>
  <c r="AU25" i="2"/>
  <c r="AF15" i="10" s="1"/>
  <c r="AS26" i="2"/>
  <c r="AD16" i="10" s="1"/>
  <c r="AU26" i="2"/>
  <c r="AF16" i="10" s="1"/>
  <c r="AS27" i="2"/>
  <c r="AD17" i="10" s="1"/>
  <c r="AU27" i="2"/>
  <c r="AF17" i="10" s="1"/>
  <c r="AS28" i="2"/>
  <c r="AD18" i="10" s="1"/>
  <c r="AU28" i="2"/>
  <c r="AF18" i="10" s="1"/>
  <c r="AS29" i="2"/>
  <c r="AD19" i="10" s="1"/>
  <c r="AU29" i="2"/>
  <c r="AF19" i="10" s="1"/>
  <c r="AU30" i="2"/>
  <c r="AF20" i="10" s="1"/>
  <c r="AU19" i="2"/>
  <c r="AF10" i="10" s="1"/>
  <c r="AY8" i="2"/>
  <c r="AS7" i="2"/>
  <c r="AL7" i="2"/>
  <c r="AU41" i="2" l="1"/>
  <c r="AV41" i="2"/>
  <c r="AT41" i="2"/>
  <c r="AS41" i="2"/>
  <c r="T30" i="2"/>
  <c r="AE31" i="4"/>
  <c r="AF31" i="4"/>
  <c r="AE34" i="4"/>
  <c r="AE33" i="4"/>
  <c r="AE32" i="4"/>
  <c r="AG31" i="4"/>
  <c r="AH85" i="4"/>
  <c r="AG85" i="4"/>
  <c r="AF85" i="4"/>
  <c r="AE85" i="4"/>
  <c r="AH21" i="4"/>
  <c r="AG21" i="4"/>
  <c r="AF21" i="4"/>
  <c r="AE21" i="4"/>
  <c r="AH20" i="4"/>
  <c r="AG20" i="4"/>
  <c r="AF20" i="4"/>
  <c r="AE20" i="4"/>
  <c r="AH19" i="4"/>
  <c r="AG19" i="4"/>
  <c r="AF19" i="4"/>
  <c r="AE19" i="4"/>
  <c r="AH18" i="4"/>
  <c r="AG18" i="4"/>
  <c r="AF18" i="4"/>
  <c r="AE18" i="4"/>
  <c r="AS78" i="4"/>
  <c r="AR78" i="4"/>
  <c r="AQ78" i="4"/>
  <c r="AP78" i="4"/>
  <c r="AS70" i="4"/>
  <c r="AR70" i="4"/>
  <c r="AQ70" i="4"/>
  <c r="AP70" i="4"/>
  <c r="AS61" i="4"/>
  <c r="AR61" i="4"/>
  <c r="AQ61" i="4"/>
  <c r="AP61" i="4"/>
  <c r="AS52" i="4"/>
  <c r="AR52" i="4"/>
  <c r="AQ52" i="4"/>
  <c r="AP52" i="4"/>
  <c r="AS44" i="4"/>
  <c r="AR44" i="4"/>
  <c r="AQ44" i="4"/>
  <c r="AP44" i="4"/>
  <c r="AS37" i="4"/>
  <c r="AR37" i="4"/>
  <c r="AQ37" i="4"/>
  <c r="AP37" i="4"/>
  <c r="AS27" i="4"/>
  <c r="AR27" i="4"/>
  <c r="AQ27" i="4"/>
  <c r="AP27" i="4"/>
  <c r="AS20" i="4"/>
  <c r="AR20" i="4"/>
  <c r="AQ20" i="4"/>
  <c r="AP20" i="4"/>
  <c r="AS8" i="4"/>
  <c r="AR8" i="4"/>
  <c r="AQ8" i="4"/>
  <c r="AP8" i="4"/>
  <c r="AH31" i="4"/>
  <c r="AH23" i="4"/>
  <c r="AG23" i="4"/>
  <c r="AF23" i="4"/>
  <c r="AE23" i="4"/>
  <c r="AH22" i="4"/>
  <c r="AG22" i="4"/>
  <c r="AF22" i="4"/>
  <c r="AE22" i="4"/>
  <c r="AH17" i="4"/>
  <c r="AG17" i="4"/>
  <c r="AF17" i="4"/>
  <c r="AE17" i="4"/>
  <c r="AH16" i="4"/>
  <c r="AG16" i="4"/>
  <c r="AF16" i="4"/>
  <c r="AE16" i="4"/>
  <c r="AH15" i="4"/>
  <c r="AG15" i="4"/>
  <c r="AF15" i="4"/>
  <c r="AE15" i="4"/>
  <c r="AH8" i="4"/>
  <c r="AH7" i="4"/>
  <c r="AG8" i="4"/>
  <c r="AG7" i="4"/>
  <c r="AI7" i="4"/>
  <c r="AK8" i="4"/>
  <c r="AK9" i="4" s="1"/>
  <c r="AJ8" i="4"/>
  <c r="AJ9" i="4" s="1"/>
  <c r="AI8" i="4"/>
  <c r="AI9" i="4" s="1"/>
  <c r="AF8" i="4"/>
  <c r="S9" i="10" s="1"/>
  <c r="AE8" i="4"/>
  <c r="R9" i="10" s="1"/>
  <c r="AK7" i="4"/>
  <c r="AJ7" i="4"/>
  <c r="AF7" i="4"/>
  <c r="AE7" i="4"/>
  <c r="AL8" i="2"/>
  <c r="AM7" i="2"/>
  <c r="AE9" i="4" l="1"/>
  <c r="P9" i="10"/>
  <c r="AF9" i="4"/>
  <c r="Q9" i="10"/>
  <c r="AL9" i="5"/>
  <c r="AF72" i="4"/>
  <c r="AG58" i="4"/>
  <c r="AG72" i="4"/>
  <c r="AH72" i="4"/>
  <c r="AE72" i="4"/>
  <c r="AF58" i="4"/>
  <c r="AH58" i="4"/>
  <c r="AE58" i="4"/>
  <c r="AE24" i="4"/>
  <c r="AG24" i="4"/>
  <c r="AH45" i="4"/>
  <c r="AE45" i="4"/>
  <c r="AF24" i="4"/>
  <c r="AH24" i="4"/>
  <c r="AG9" i="4"/>
  <c r="AF45" i="4"/>
  <c r="AH9" i="4"/>
  <c r="AG45" i="4"/>
  <c r="AL9" i="2"/>
  <c r="BC24" i="4" l="1"/>
  <c r="BC23" i="4"/>
  <c r="BD23" i="4"/>
  <c r="BD24" i="4"/>
  <c r="BC25" i="4"/>
  <c r="BD25" i="4"/>
  <c r="BC26" i="4"/>
  <c r="BD26" i="4"/>
  <c r="BC27" i="4"/>
  <c r="BD27" i="4"/>
  <c r="BC28" i="4"/>
  <c r="BD28" i="4"/>
  <c r="BC29" i="4"/>
  <c r="BD29" i="4"/>
  <c r="BC30" i="4"/>
  <c r="BD30" i="4"/>
  <c r="AP7" i="2"/>
  <c r="AO7" i="2"/>
  <c r="AN7" i="2"/>
  <c r="AK8" i="2"/>
  <c r="AK7" i="2"/>
  <c r="C9" i="10" s="1"/>
  <c r="AE22" i="6"/>
  <c r="AD18" i="6"/>
  <c r="AD19" i="6"/>
  <c r="AD20" i="6"/>
  <c r="AD21" i="6"/>
  <c r="AD22" i="6"/>
  <c r="AD23" i="6"/>
  <c r="AD24" i="6"/>
  <c r="AD17" i="6"/>
  <c r="AH10" i="10"/>
  <c r="AT7" i="2"/>
  <c r="R13" i="6"/>
  <c r="S13" i="6" s="1"/>
  <c r="R12" i="6"/>
  <c r="S12" i="6" s="1"/>
  <c r="R14" i="6"/>
  <c r="S14" i="6" s="1"/>
  <c r="R10" i="6"/>
  <c r="S10" i="6" s="1"/>
  <c r="R9" i="6"/>
  <c r="S9" i="6" s="1"/>
  <c r="AH8" i="10"/>
  <c r="AH32" i="10"/>
  <c r="R15" i="6"/>
  <c r="S15" i="6" s="1"/>
  <c r="R16" i="6"/>
  <c r="S16" i="6" s="1"/>
  <c r="R17" i="6"/>
  <c r="S17" i="6" s="1"/>
  <c r="R18" i="6"/>
  <c r="S18" i="6" s="1"/>
  <c r="R19" i="6"/>
  <c r="S19" i="6" s="1"/>
  <c r="R20" i="6"/>
  <c r="S20" i="6" s="1"/>
  <c r="R21" i="6"/>
  <c r="S21" i="6" s="1"/>
  <c r="R22" i="6"/>
  <c r="S22" i="6" s="1"/>
  <c r="R23" i="6"/>
  <c r="S23" i="6" s="1"/>
  <c r="R25" i="6"/>
  <c r="S25" i="6" s="1"/>
  <c r="R24" i="6"/>
  <c r="S24" i="6" s="1"/>
  <c r="R28" i="6"/>
  <c r="S28" i="6" s="1"/>
  <c r="R31" i="6"/>
  <c r="S31" i="6" s="1"/>
  <c r="R32" i="6"/>
  <c r="S32" i="6" s="1"/>
  <c r="R26" i="6"/>
  <c r="S26" i="6" s="1"/>
  <c r="R33" i="6"/>
  <c r="S33" i="6" s="1"/>
  <c r="R39" i="6"/>
  <c r="S39" i="6" s="1"/>
  <c r="R38" i="6"/>
  <c r="S38" i="6" s="1"/>
  <c r="R40" i="6"/>
  <c r="S40" i="6" s="1"/>
  <c r="R41" i="6"/>
  <c r="S41" i="6" s="1"/>
  <c r="R29" i="6"/>
  <c r="S29" i="6" s="1"/>
  <c r="R67" i="6"/>
  <c r="S67" i="6" s="1"/>
  <c r="R42" i="6"/>
  <c r="S42" i="6" s="1"/>
  <c r="R44" i="6"/>
  <c r="S44" i="6" s="1"/>
  <c r="R45" i="6"/>
  <c r="S45" i="6" s="1"/>
  <c r="R43" i="6"/>
  <c r="S43" i="6" s="1"/>
  <c r="R46" i="6"/>
  <c r="S46" i="6" s="1"/>
  <c r="R47" i="6"/>
  <c r="S47" i="6" s="1"/>
  <c r="R48" i="6"/>
  <c r="S48" i="6" s="1"/>
  <c r="R37" i="6"/>
  <c r="S37" i="6" s="1"/>
  <c r="R53" i="6"/>
  <c r="S53" i="6" s="1"/>
  <c r="R58" i="6"/>
  <c r="S58" i="6" s="1"/>
  <c r="R57" i="6"/>
  <c r="S57" i="6" s="1"/>
  <c r="R54" i="6"/>
  <c r="S54" i="6" s="1"/>
  <c r="R49" i="6"/>
  <c r="S49" i="6" s="1"/>
  <c r="R55" i="6"/>
  <c r="S55" i="6" s="1"/>
  <c r="R50" i="6"/>
  <c r="S50" i="6" s="1"/>
  <c r="R56" i="6"/>
  <c r="S56" i="6" s="1"/>
  <c r="R52" i="6"/>
  <c r="S52" i="6" s="1"/>
  <c r="R59" i="6"/>
  <c r="S59" i="6" s="1"/>
  <c r="R60" i="6"/>
  <c r="S60" i="6" s="1"/>
  <c r="R11" i="6"/>
  <c r="S11" i="6" s="1"/>
  <c r="R34" i="6"/>
  <c r="S34" i="6" s="1"/>
  <c r="R61" i="6"/>
  <c r="S61" i="6" s="1"/>
  <c r="R63" i="6"/>
  <c r="S63" i="6" s="1"/>
  <c r="R64" i="6"/>
  <c r="S64" i="6" s="1"/>
  <c r="R65" i="6"/>
  <c r="S65" i="6" s="1"/>
  <c r="R66" i="6"/>
  <c r="S66" i="6" s="1"/>
  <c r="R68" i="6"/>
  <c r="S68" i="6" s="1"/>
  <c r="R51" i="6"/>
  <c r="S51" i="6" s="1"/>
  <c r="R69" i="6"/>
  <c r="S69" i="6" s="1"/>
  <c r="R70" i="6"/>
  <c r="S70" i="6" s="1"/>
  <c r="R72" i="6"/>
  <c r="S72" i="6" s="1"/>
  <c r="R71" i="6"/>
  <c r="S71" i="6" s="1"/>
  <c r="R75" i="6"/>
  <c r="S75" i="6" s="1"/>
  <c r="R74" i="6"/>
  <c r="S74" i="6" s="1"/>
  <c r="R73" i="6"/>
  <c r="S73" i="6" s="1"/>
  <c r="R80" i="6"/>
  <c r="S80" i="6" s="1"/>
  <c r="R77" i="6"/>
  <c r="S77" i="6" s="1"/>
  <c r="R76" i="6"/>
  <c r="S76" i="6" s="1"/>
  <c r="R78" i="6"/>
  <c r="S78" i="6" s="1"/>
  <c r="R79" i="6"/>
  <c r="S79" i="6" s="1"/>
  <c r="R36" i="6"/>
  <c r="S36" i="6" s="1"/>
  <c r="R27" i="6"/>
  <c r="S27" i="6" s="1"/>
  <c r="R83" i="6"/>
  <c r="S83" i="6" s="1"/>
  <c r="R86" i="6"/>
  <c r="S86" i="6" s="1"/>
  <c r="R62" i="6"/>
  <c r="S62" i="6" s="1"/>
  <c r="R87" i="6"/>
  <c r="S87" i="6" s="1"/>
  <c r="R88" i="6"/>
  <c r="S88" i="6" s="1"/>
  <c r="R89" i="6"/>
  <c r="S89" i="6" s="1"/>
  <c r="R90" i="6"/>
  <c r="S90" i="6" s="1"/>
  <c r="R91" i="6"/>
  <c r="S91" i="6" s="1"/>
  <c r="R92" i="6"/>
  <c r="S92" i="6" s="1"/>
  <c r="R93" i="6"/>
  <c r="S93" i="6" s="1"/>
  <c r="R94" i="6"/>
  <c r="S94" i="6" s="1"/>
  <c r="R95" i="6"/>
  <c r="S95" i="6" s="1"/>
  <c r="R96" i="6"/>
  <c r="S96" i="6" s="1"/>
  <c r="R97" i="6"/>
  <c r="S97" i="6" s="1"/>
  <c r="R98" i="6"/>
  <c r="S98" i="6" s="1"/>
  <c r="R99" i="6"/>
  <c r="S99" i="6" s="1"/>
  <c r="R100" i="6"/>
  <c r="S100" i="6" s="1"/>
  <c r="R101" i="6"/>
  <c r="S101" i="6" s="1"/>
  <c r="R102" i="6"/>
  <c r="S102" i="6" s="1"/>
  <c r="R103" i="6"/>
  <c r="S103" i="6" s="1"/>
  <c r="R104" i="6"/>
  <c r="S104" i="6" s="1"/>
  <c r="R105" i="6"/>
  <c r="S105" i="6" s="1"/>
  <c r="R106" i="6"/>
  <c r="S106" i="6" s="1"/>
  <c r="R107" i="6"/>
  <c r="S107" i="6" s="1"/>
  <c r="R108" i="6"/>
  <c r="S108" i="6" s="1"/>
  <c r="R109" i="6"/>
  <c r="S109" i="6" s="1"/>
  <c r="R110" i="6"/>
  <c r="S110" i="6" s="1"/>
  <c r="R111" i="6"/>
  <c r="S111" i="6" s="1"/>
  <c r="R112" i="6"/>
  <c r="S112" i="6" s="1"/>
  <c r="R113" i="6"/>
  <c r="S113" i="6" s="1"/>
  <c r="R114" i="6"/>
  <c r="S114" i="6" s="1"/>
  <c r="R115" i="6"/>
  <c r="S115" i="6" s="1"/>
  <c r="R116" i="6"/>
  <c r="S116" i="6" s="1"/>
  <c r="R117" i="6"/>
  <c r="S117" i="6" s="1"/>
  <c r="R118" i="6"/>
  <c r="S118" i="6" s="1"/>
  <c r="R119" i="6"/>
  <c r="S119" i="6" s="1"/>
  <c r="R120" i="6"/>
  <c r="S120" i="6" s="1"/>
  <c r="R121" i="6"/>
  <c r="S121" i="6" s="1"/>
  <c r="R122" i="6"/>
  <c r="S122" i="6" s="1"/>
  <c r="R123" i="6"/>
  <c r="S123" i="6" s="1"/>
  <c r="R124" i="6"/>
  <c r="S124" i="6" s="1"/>
  <c r="R125" i="6"/>
  <c r="S125" i="6" s="1"/>
  <c r="R126" i="6"/>
  <c r="S126" i="6" s="1"/>
  <c r="R127" i="6"/>
  <c r="S127" i="6" s="1"/>
  <c r="R128" i="6"/>
  <c r="S128" i="6" s="1"/>
  <c r="R129" i="6"/>
  <c r="S129" i="6" s="1"/>
  <c r="R130" i="6"/>
  <c r="S130" i="6" s="1"/>
  <c r="R131" i="6"/>
  <c r="S131" i="6" s="1"/>
  <c r="R132" i="6"/>
  <c r="S132" i="6" s="1"/>
  <c r="R133" i="6"/>
  <c r="S133" i="6" s="1"/>
  <c r="R134" i="6"/>
  <c r="S134" i="6" s="1"/>
  <c r="R135" i="6"/>
  <c r="S135" i="6" s="1"/>
  <c r="R136" i="6"/>
  <c r="S136" i="6" s="1"/>
  <c r="R137" i="6"/>
  <c r="S137" i="6" s="1"/>
  <c r="R138" i="6"/>
  <c r="S138" i="6" s="1"/>
  <c r="R139" i="6"/>
  <c r="S139" i="6" s="1"/>
  <c r="R140" i="6"/>
  <c r="S140" i="6" s="1"/>
  <c r="R141" i="6"/>
  <c r="S141" i="6" s="1"/>
  <c r="R142" i="6"/>
  <c r="S142" i="6" s="1"/>
  <c r="R143" i="6"/>
  <c r="S143" i="6" s="1"/>
  <c r="R144" i="6"/>
  <c r="S144" i="6" s="1"/>
  <c r="R5" i="6"/>
  <c r="R6" i="6"/>
  <c r="S6" i="6" s="1"/>
  <c r="R7" i="6"/>
  <c r="S7" i="6" s="1"/>
  <c r="R8" i="6"/>
  <c r="S8" i="6" s="1"/>
  <c r="R4" i="6"/>
  <c r="AE23" i="6" l="1"/>
  <c r="AE9" i="6"/>
  <c r="AE24" i="6"/>
  <c r="B9" i="10"/>
  <c r="AI8" i="6"/>
  <c r="AI10" i="10" s="1"/>
  <c r="AD25" i="6"/>
  <c r="AE21" i="6"/>
  <c r="AE8" i="6"/>
  <c r="AE20" i="6"/>
  <c r="AE10" i="6"/>
  <c r="AE19" i="6"/>
  <c r="AE18" i="6"/>
  <c r="AD11" i="6"/>
  <c r="AE17" i="6"/>
  <c r="BD31" i="4"/>
  <c r="BC31" i="4"/>
  <c r="AC11" i="6"/>
  <c r="T6" i="2"/>
  <c r="T7" i="2"/>
  <c r="T8" i="2"/>
  <c r="BE16" i="4"/>
  <c r="O3" i="4"/>
  <c r="BF9" i="4"/>
  <c r="BF10" i="4"/>
  <c r="BF11" i="4"/>
  <c r="BF12" i="4"/>
  <c r="BF13" i="4"/>
  <c r="BF14" i="4"/>
  <c r="BF15" i="4"/>
  <c r="BF16" i="4"/>
  <c r="BF8" i="4"/>
  <c r="BE9" i="4"/>
  <c r="BE10" i="4"/>
  <c r="BE11" i="4"/>
  <c r="BE12" i="4"/>
  <c r="BE13" i="4"/>
  <c r="BE14" i="4"/>
  <c r="BE15" i="4"/>
  <c r="BE8" i="4"/>
  <c r="BD9" i="4"/>
  <c r="BD10" i="4"/>
  <c r="BD11" i="4"/>
  <c r="BD12" i="4"/>
  <c r="BD13" i="4"/>
  <c r="BD14" i="4"/>
  <c r="BD15" i="4"/>
  <c r="BD16" i="4"/>
  <c r="BD8" i="4"/>
  <c r="BC9" i="4"/>
  <c r="BC10" i="4"/>
  <c r="BC11" i="4"/>
  <c r="BC12" i="4"/>
  <c r="BC13" i="4"/>
  <c r="BC14" i="4"/>
  <c r="BC15" i="4"/>
  <c r="BC16" i="4"/>
  <c r="BC8" i="4"/>
  <c r="AI24" i="6"/>
  <c r="AI8" i="10" s="1"/>
  <c r="AI23" i="6"/>
  <c r="AI22" i="6"/>
  <c r="AI21" i="6"/>
  <c r="AI20" i="6"/>
  <c r="AI19" i="6"/>
  <c r="AI18" i="6"/>
  <c r="AI17" i="6"/>
  <c r="AI10" i="6"/>
  <c r="AI9" i="6"/>
  <c r="AI32" i="10" s="1"/>
  <c r="S5" i="6"/>
  <c r="S4" i="6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T16" i="5"/>
  <c r="T15" i="5"/>
  <c r="T14" i="5"/>
  <c r="T13" i="5"/>
  <c r="T12" i="5"/>
  <c r="T11" i="5"/>
  <c r="T10" i="5"/>
  <c r="T9" i="5"/>
  <c r="L19" i="10"/>
  <c r="K19" i="10"/>
  <c r="J19" i="10"/>
  <c r="T8" i="5"/>
  <c r="L16" i="10"/>
  <c r="K16" i="10"/>
  <c r="T7" i="5"/>
  <c r="T6" i="5"/>
  <c r="T5" i="5"/>
  <c r="T4" i="5"/>
  <c r="T3" i="5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69" i="2"/>
  <c r="T68" i="2"/>
  <c r="T67" i="2"/>
  <c r="T66" i="2"/>
  <c r="T65" i="2"/>
  <c r="T64" i="2"/>
  <c r="T63" i="2"/>
  <c r="T62" i="2"/>
  <c r="T61" i="2"/>
  <c r="T60" i="2"/>
  <c r="T59" i="2"/>
  <c r="T50" i="2"/>
  <c r="T49" i="2"/>
  <c r="T48" i="2"/>
  <c r="T47" i="2"/>
  <c r="T46" i="2"/>
  <c r="T45" i="2"/>
  <c r="T44" i="2"/>
  <c r="T43" i="2"/>
  <c r="T42" i="2"/>
  <c r="T41" i="2"/>
  <c r="T40" i="2"/>
  <c r="T39" i="2"/>
  <c r="T37" i="2"/>
  <c r="T36" i="2"/>
  <c r="T35" i="2"/>
  <c r="T34" i="2"/>
  <c r="T33" i="2"/>
  <c r="T32" i="2"/>
  <c r="T31" i="2"/>
  <c r="T29" i="2"/>
  <c r="T28" i="2"/>
  <c r="BB22" i="2"/>
  <c r="AZ22" i="2"/>
  <c r="T27" i="2"/>
  <c r="T26" i="2"/>
  <c r="T25" i="2"/>
  <c r="T24" i="2"/>
  <c r="T23" i="2"/>
  <c r="T22" i="2"/>
  <c r="BB21" i="2"/>
  <c r="AZ21" i="2"/>
  <c r="T21" i="2"/>
  <c r="BB20" i="2"/>
  <c r="BA20" i="2"/>
  <c r="AZ20" i="2"/>
  <c r="T20" i="2"/>
  <c r="T19" i="2"/>
  <c r="T18" i="2"/>
  <c r="T17" i="2"/>
  <c r="T16" i="2"/>
  <c r="T15" i="2"/>
  <c r="T14" i="2"/>
  <c r="T13" i="2"/>
  <c r="BB12" i="2"/>
  <c r="BA12" i="2"/>
  <c r="AZ12" i="2"/>
  <c r="AY12" i="2"/>
  <c r="T12" i="2"/>
  <c r="BB11" i="2"/>
  <c r="BA11" i="2"/>
  <c r="AZ11" i="2"/>
  <c r="AY11" i="2"/>
  <c r="AV11" i="2"/>
  <c r="E24" i="10" s="1"/>
  <c r="AU11" i="2"/>
  <c r="D24" i="10" s="1"/>
  <c r="AT11" i="2"/>
  <c r="C24" i="10" s="1"/>
  <c r="AS11" i="2"/>
  <c r="B24" i="10" s="1"/>
  <c r="T11" i="2"/>
  <c r="BB10" i="2"/>
  <c r="BA10" i="2"/>
  <c r="AZ10" i="2"/>
  <c r="AY10" i="2"/>
  <c r="AV10" i="2"/>
  <c r="E21" i="10" s="1"/>
  <c r="AU10" i="2"/>
  <c r="D21" i="10" s="1"/>
  <c r="AT10" i="2"/>
  <c r="C21" i="10" s="1"/>
  <c r="AS10" i="2"/>
  <c r="B21" i="10" s="1"/>
  <c r="T10" i="2"/>
  <c r="BB9" i="2"/>
  <c r="BA9" i="2"/>
  <c r="AZ9" i="2"/>
  <c r="AY9" i="2"/>
  <c r="AV9" i="2"/>
  <c r="E18" i="10" s="1"/>
  <c r="AU9" i="2"/>
  <c r="D18" i="10" s="1"/>
  <c r="AT9" i="2"/>
  <c r="C18" i="10" s="1"/>
  <c r="AS9" i="2"/>
  <c r="B18" i="10" s="1"/>
  <c r="T9" i="2"/>
  <c r="BB8" i="2"/>
  <c r="BA8" i="2"/>
  <c r="AZ8" i="2"/>
  <c r="AV8" i="2"/>
  <c r="E15" i="10" s="1"/>
  <c r="AU8" i="2"/>
  <c r="D15" i="10" s="1"/>
  <c r="AT8" i="2"/>
  <c r="C15" i="10" s="1"/>
  <c r="AS8" i="2"/>
  <c r="B15" i="10" s="1"/>
  <c r="AP8" i="2"/>
  <c r="AO8" i="2"/>
  <c r="AN8" i="2"/>
  <c r="AM8" i="2"/>
  <c r="E9" i="10"/>
  <c r="AJ8" i="2"/>
  <c r="AJ9" i="2" s="1"/>
  <c r="AV7" i="2"/>
  <c r="E12" i="10" s="1"/>
  <c r="AU7" i="2"/>
  <c r="D12" i="10" s="1"/>
  <c r="C12" i="10"/>
  <c r="B12" i="10"/>
  <c r="T5" i="2"/>
  <c r="T4" i="2"/>
  <c r="T3" i="2"/>
  <c r="D9" i="10" l="1"/>
  <c r="AE25" i="6"/>
  <c r="AE11" i="6"/>
  <c r="L13" i="10"/>
  <c r="L4" i="10" s="1"/>
  <c r="J13" i="10"/>
  <c r="E4" i="10" s="1"/>
  <c r="F9" i="10"/>
  <c r="AI11" i="6"/>
  <c r="G9" i="10"/>
  <c r="M13" i="10"/>
  <c r="N13" i="10"/>
  <c r="F12" i="10"/>
  <c r="AC25" i="6"/>
  <c r="G12" i="10"/>
  <c r="AI25" i="6"/>
  <c r="F15" i="10"/>
  <c r="G15" i="10"/>
  <c r="F18" i="10"/>
  <c r="G18" i="10"/>
  <c r="F21" i="10"/>
  <c r="G21" i="10"/>
  <c r="F24" i="10"/>
  <c r="G24" i="10"/>
  <c r="M16" i="10"/>
  <c r="N16" i="10"/>
  <c r="M19" i="10"/>
  <c r="N19" i="10"/>
  <c r="M9" i="10"/>
  <c r="N9" i="10"/>
  <c r="AP9" i="5"/>
  <c r="AS9" i="5"/>
  <c r="AT9" i="5"/>
  <c r="AO9" i="5"/>
  <c r="BB23" i="2"/>
  <c r="AM9" i="2"/>
  <c r="AN9" i="2"/>
  <c r="AZ13" i="2"/>
  <c r="AO9" i="2"/>
  <c r="BA13" i="2"/>
  <c r="BB13" i="2"/>
  <c r="AP9" i="2"/>
  <c r="AK9" i="2"/>
  <c r="AY23" i="2"/>
  <c r="AZ23" i="2"/>
  <c r="BA23" i="2"/>
  <c r="AY13" i="2"/>
  <c r="AS12" i="2"/>
  <c r="AU12" i="2"/>
  <c r="AT12" i="2"/>
  <c r="AV12" i="2"/>
  <c r="AK9" i="5"/>
  <c r="AV9" i="5"/>
  <c r="J16" i="10"/>
  <c r="AM9" i="5"/>
  <c r="K13" i="10"/>
  <c r="I19" i="10"/>
  <c r="AJ9" i="5"/>
  <c r="AN9" i="5"/>
  <c r="AU9" i="5"/>
  <c r="I16" i="10"/>
  <c r="I13" i="10"/>
  <c r="B4" i="10" s="1"/>
  <c r="BF17" i="4"/>
  <c r="BE17" i="4"/>
  <c r="BD17" i="4"/>
  <c r="BC17" i="4"/>
  <c r="H4" i="10" l="1"/>
  <c r="R4" i="10"/>
  <c r="O4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BB95A9-BDC2-4B69-8978-C2746E4FCBF9}" keepAlive="1" name="Query - Table 0" description="Connection to the 'Table 0' query in the workbook." type="5" refreshedVersion="8" background="1" saveData="1">
    <dbPr connection="Provider=Microsoft.Mashup.OleDb.1;Data Source=$Workbook$;Location=&quot;Table 0&quot;;Extended Properties=&quot;&quot;" command="SELECT * FROM [Table 0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<sst xmlns="http://schemas.openxmlformats.org/spreadsheetml/2006/main" count="4951" uniqueCount="1135">
  <si>
    <t>Saturday</t>
  </si>
  <si>
    <t>-</t>
  </si>
  <si>
    <t>Missoula PL:</t>
  </si>
  <si>
    <t>Northern Rockies PL:</t>
  </si>
  <si>
    <t>National PL:</t>
  </si>
  <si>
    <t>EAST Dispatch Response Level</t>
  </si>
  <si>
    <t>Low</t>
  </si>
  <si>
    <t>EAST Fire Danger:</t>
  </si>
  <si>
    <t>RUNCARD STATUS:</t>
  </si>
  <si>
    <t>WZ - D5 &amp; D7</t>
  </si>
  <si>
    <t>CZ - D3, D4, &amp; MSO</t>
  </si>
  <si>
    <t>EZ - D6 &amp; CLW</t>
  </si>
  <si>
    <t>WEST Dispatch Response Level</t>
  </si>
  <si>
    <t>WEST Fire Danger:</t>
  </si>
  <si>
    <t>OFF</t>
  </si>
  <si>
    <r>
      <t xml:space="preserve">LNF Fire Summary -  </t>
    </r>
    <r>
      <rPr>
        <i/>
        <sz val="16"/>
        <color rgb="FF000000"/>
        <rFont val="Calibri"/>
        <family val="2"/>
      </rPr>
      <t>All fire activity in the last 7-days plus all fires not called out.</t>
    </r>
  </si>
  <si>
    <t>LNF SO #</t>
  </si>
  <si>
    <t>Sub- District</t>
  </si>
  <si>
    <t>Dist 
Fire 
#</t>
  </si>
  <si>
    <t>Discover Date</t>
  </si>
  <si>
    <t>Fire Name</t>
  </si>
  <si>
    <t>Incident #</t>
  </si>
  <si>
    <t>Wilderness?</t>
  </si>
  <si>
    <t>INITIAL OWNER</t>
  </si>
  <si>
    <t>LNF
PROTECTION
(Total Acres)</t>
  </si>
  <si>
    <t>LNF
OWNER
Acres</t>
  </si>
  <si>
    <t>SWS
OWNER
Acres</t>
  </si>
  <si>
    <t>MFD
OWNER
Acres</t>
  </si>
  <si>
    <t>County
OWNER</t>
  </si>
  <si>
    <t>County
ACRES</t>
  </si>
  <si>
    <t>FHA
OWNER
Acres</t>
  </si>
  <si>
    <t>Other 
OWNER (1)</t>
  </si>
  <si>
    <t>Other 
ACRES (1)</t>
  </si>
  <si>
    <t>Other 
OWNER (2)</t>
  </si>
  <si>
    <t>Other 
ACRES (2)</t>
  </si>
  <si>
    <t>Size Class</t>
  </si>
  <si>
    <t>Cmplx</t>
  </si>
  <si>
    <t>Cause</t>
  </si>
  <si>
    <t>Status</t>
  </si>
  <si>
    <t>Out Date</t>
  </si>
  <si>
    <t>Fiscal Code(s)</t>
  </si>
  <si>
    <t>D5</t>
  </si>
  <si>
    <t>River Road East</t>
  </si>
  <si>
    <t>N</t>
  </si>
  <si>
    <t>LG35 - Sanders</t>
  </si>
  <si>
    <t>NWS</t>
  </si>
  <si>
    <t>G</t>
  </si>
  <si>
    <t>H</t>
  </si>
  <si>
    <t>Extended IA</t>
  </si>
  <si>
    <t>P1QKQ4</t>
  </si>
  <si>
    <t>D4</t>
  </si>
  <si>
    <t>Lupine</t>
  </si>
  <si>
    <t>LNF</t>
  </si>
  <si>
    <t>D</t>
  </si>
  <si>
    <t>L</t>
  </si>
  <si>
    <t>P1QM5E / 903361</t>
  </si>
  <si>
    <t>D6</t>
  </si>
  <si>
    <t>Morrell Creek</t>
  </si>
  <si>
    <t>Patrol</t>
  </si>
  <si>
    <t>P1QM6R</t>
  </si>
  <si>
    <t>Benson Peak</t>
  </si>
  <si>
    <t>P1EKT4</t>
  </si>
  <si>
    <t>Big Spruce Creek</t>
  </si>
  <si>
    <t>Contained</t>
  </si>
  <si>
    <t>P1QNQ3</t>
  </si>
  <si>
    <t>D3</t>
  </si>
  <si>
    <t>A</t>
  </si>
  <si>
    <t>Out</t>
  </si>
  <si>
    <t>P1QN79</t>
  </si>
  <si>
    <r>
      <t xml:space="preserve">SWS Fire Summary - </t>
    </r>
    <r>
      <rPr>
        <i/>
        <sz val="16"/>
        <color rgb="FF000000"/>
        <rFont val="Calibri"/>
        <family val="2"/>
      </rPr>
      <t>All fire activity in the last 7-days plus all fires not called out.</t>
    </r>
  </si>
  <si>
    <t>SWS #</t>
  </si>
  <si>
    <t>Sub- Unit</t>
  </si>
  <si>
    <t>Sub-Unit Fire #</t>
  </si>
  <si>
    <t>SWS
PROTECTION
(Total Acres)</t>
  </si>
  <si>
    <t>County
OWNER
Acres</t>
  </si>
  <si>
    <t>CLW</t>
  </si>
  <si>
    <t xml:space="preserve">Colt </t>
  </si>
  <si>
    <t>FNF</t>
  </si>
  <si>
    <t>903164 / PNQD24</t>
  </si>
  <si>
    <t>x</t>
  </si>
  <si>
    <t>Indices and Precipitation</t>
  </si>
  <si>
    <t>SW Montana Zone Precipitation Summary</t>
  </si>
  <si>
    <t>DAILY FIRE DANGER SUMMARY - OBSERVED INDICES</t>
  </si>
  <si>
    <t>Weather Station</t>
  </si>
  <si>
    <t>2 Days</t>
  </si>
  <si>
    <t>5 Days</t>
  </si>
  <si>
    <t>7 Days</t>
  </si>
  <si>
    <t>10 Days</t>
  </si>
  <si>
    <t>30 Days</t>
  </si>
  <si>
    <t xml:space="preserve">ERC </t>
  </si>
  <si>
    <t>BI</t>
  </si>
  <si>
    <t xml:space="preserve">ERC Class </t>
  </si>
  <si>
    <t xml:space="preserve">BI Class </t>
  </si>
  <si>
    <t xml:space="preserve">Dispatch RL </t>
  </si>
  <si>
    <t>Severe Fire</t>
  </si>
  <si>
    <t>BLUE MTN</t>
  </si>
  <si>
    <t>SIG</t>
  </si>
  <si>
    <t>FM</t>
  </si>
  <si>
    <t>Date</t>
  </si>
  <si>
    <t>ERC</t>
  </si>
  <si>
    <t>Percentile</t>
  </si>
  <si>
    <t>(Hot and Dry)</t>
  </si>
  <si>
    <t>(Windy)</t>
  </si>
  <si>
    <t>(ERC + BI)</t>
  </si>
  <si>
    <t xml:space="preserve"> Danger Index</t>
  </si>
  <si>
    <t>CLEARWATER</t>
  </si>
  <si>
    <t>EASTFDRA</t>
  </si>
  <si>
    <t>Y</t>
  </si>
  <si>
    <t>HARVEY GROUSE</t>
  </si>
  <si>
    <t>WESTFDRA</t>
  </si>
  <si>
    <t>HOT SPRINGS</t>
  </si>
  <si>
    <t>CSKTEAST</t>
  </si>
  <si>
    <t>JETTE</t>
  </si>
  <si>
    <t>CSKTWEST</t>
  </si>
  <si>
    <t>NINE MILE</t>
  </si>
  <si>
    <t>PARDEE</t>
  </si>
  <si>
    <t>DAILY FIRE DANGER SUMMARY - FORECASTED INDICES</t>
  </si>
  <si>
    <t>PISTOL CREEK</t>
  </si>
  <si>
    <t>PLAINS</t>
  </si>
  <si>
    <t>POINT 6</t>
  </si>
  <si>
    <t>RONAN</t>
  </si>
  <si>
    <t>SEELEY LAKE</t>
  </si>
  <si>
    <t>ST. REGIS</t>
  </si>
  <si>
    <t>STINKWATER CREEK</t>
  </si>
  <si>
    <t>Daily Fire Danger Summary</t>
  </si>
  <si>
    <t>THOMPSON FALLS</t>
  </si>
  <si>
    <t>YANKEE FLAT</t>
  </si>
  <si>
    <t xml:space="preserve">UPDATED: </t>
  </si>
  <si>
    <t>Dist Fire #</t>
  </si>
  <si>
    <r>
      <t xml:space="preserve">LNF
PROTECTION
Acres
</t>
    </r>
    <r>
      <rPr>
        <b/>
        <i/>
        <sz val="10"/>
        <color rgb="FFFF0000"/>
        <rFont val="Arial"/>
        <family val="2"/>
      </rPr>
      <t>(Total Acres)</t>
    </r>
  </si>
  <si>
    <t>FHA 
Acres</t>
  </si>
  <si>
    <t>Other 
OWNER 
(1)</t>
  </si>
  <si>
    <t>Other 
ACRES 
(1)</t>
  </si>
  <si>
    <t>Other 
OWNER 
(2)</t>
  </si>
  <si>
    <t>Other 
ACRES 
(2)</t>
  </si>
  <si>
    <t>DNRC Fiscal Code Generated?
(Date &amp; Initials)</t>
  </si>
  <si>
    <t>Will fire be counted
for SIT?</t>
  </si>
  <si>
    <t xml:space="preserve">SIT Entered?
</t>
  </si>
  <si>
    <r>
      <t xml:space="preserve">Additional growth (acres)?
</t>
    </r>
    <r>
      <rPr>
        <b/>
        <i/>
        <sz val="10"/>
        <color theme="1"/>
        <rFont val="Arial"/>
        <family val="2"/>
      </rPr>
      <t>See Comment</t>
    </r>
  </si>
  <si>
    <t>Has new acreage been dd to the SIT, CAD, and YTD?</t>
  </si>
  <si>
    <t>SIT Comments?
Include when YTD stats were updated in the SIT.</t>
  </si>
  <si>
    <t>Incident Close - eFiles Complete
(Date &amp; Initials)</t>
  </si>
  <si>
    <t>inFORM Certified?</t>
  </si>
  <si>
    <t>D7</t>
  </si>
  <si>
    <t>Miller Lane</t>
  </si>
  <si>
    <t>P1P5ZL</t>
  </si>
  <si>
    <t>3/20/23 BL</t>
  </si>
  <si>
    <t>LNF SIT REPORT YTD</t>
  </si>
  <si>
    <t>YTD by SUB-UNIT</t>
  </si>
  <si>
    <t>WILDERNESS
YTD by SUB-UNIT</t>
  </si>
  <si>
    <t>Forest Grove</t>
  </si>
  <si>
    <t>SWS</t>
  </si>
  <si>
    <t>P1P6EG</t>
  </si>
  <si>
    <t>4/11/23 MF</t>
  </si>
  <si>
    <t>Total
LNF
Prot</t>
  </si>
  <si>
    <t>Total
Prot
Acres</t>
  </si>
  <si>
    <t>LNF Own Fires</t>
  </si>
  <si>
    <t>LNF 
Own
Acres</t>
  </si>
  <si>
    <t>SWS 
Own
Acres</t>
  </si>
  <si>
    <t>MFD
Own
Acres</t>
  </si>
  <si>
    <t>County Own
Acres</t>
  </si>
  <si>
    <t>PROTECTION</t>
  </si>
  <si>
    <t>I90 MM41</t>
  </si>
  <si>
    <t>LG54 - Mineral</t>
  </si>
  <si>
    <t>P1P6M4</t>
  </si>
  <si>
    <t>7/6/23 SH</t>
  </si>
  <si>
    <t>Sub-Unit</t>
  </si>
  <si>
    <t>Human</t>
  </si>
  <si>
    <t>Lightning</t>
  </si>
  <si>
    <r>
      <t>P</t>
    </r>
    <r>
      <rPr>
        <b/>
        <i/>
        <sz val="12"/>
        <rFont val="Arial"/>
        <family val="2"/>
      </rPr>
      <t>ROTECTION</t>
    </r>
  </si>
  <si>
    <t>Badrock</t>
  </si>
  <si>
    <t>9/14/23 SP</t>
  </si>
  <si>
    <t>Fires</t>
  </si>
  <si>
    <t>Acres</t>
  </si>
  <si>
    <t>Sheep Gap</t>
  </si>
  <si>
    <t>P1P6M5</t>
  </si>
  <si>
    <t>Bible Lane</t>
  </si>
  <si>
    <t>P1P6NN</t>
  </si>
  <si>
    <t>Murphy Trailhead</t>
  </si>
  <si>
    <t>P1P64H</t>
  </si>
  <si>
    <t>4/26/23 MS</t>
  </si>
  <si>
    <t>Total All</t>
  </si>
  <si>
    <t>Yellowpine</t>
  </si>
  <si>
    <t>P1P6Y5</t>
  </si>
  <si>
    <t>Dairy Lane</t>
  </si>
  <si>
    <t>P1P62N</t>
  </si>
  <si>
    <t xml:space="preserve">Donlan Flats </t>
  </si>
  <si>
    <t>P1P7E6</t>
  </si>
  <si>
    <t>YTD Stats Updated 4/28</t>
  </si>
  <si>
    <t>7/3 MWM</t>
  </si>
  <si>
    <t>Game Range</t>
  </si>
  <si>
    <t>P1P7GA</t>
  </si>
  <si>
    <t>5/2 MAF</t>
  </si>
  <si>
    <t>Elk Ridge</t>
  </si>
  <si>
    <t>P1P7GY</t>
  </si>
  <si>
    <t>5/2/23 MS</t>
  </si>
  <si>
    <r>
      <rPr>
        <b/>
        <sz val="12"/>
        <rFont val="Arial"/>
        <family val="2"/>
      </rPr>
      <t>COMPLEXES</t>
    </r>
    <r>
      <rPr>
        <b/>
        <sz val="10"/>
        <rFont val="Arial"/>
        <family val="2"/>
      </rPr>
      <t xml:space="preserve">
</t>
    </r>
    <r>
      <rPr>
        <b/>
        <sz val="9"/>
        <rFont val="Arial"/>
        <family val="2"/>
      </rPr>
      <t>(Name plus fires included)</t>
    </r>
  </si>
  <si>
    <t>ACRES</t>
  </si>
  <si>
    <t>Spirit Walk</t>
  </si>
  <si>
    <t>P1P7JG</t>
  </si>
  <si>
    <t>YTD stats updated 5/1</t>
  </si>
  <si>
    <t>TRL</t>
  </si>
  <si>
    <t>P1P7PH</t>
  </si>
  <si>
    <t>5/8 JSS</t>
  </si>
  <si>
    <t>OWNERHIP by PROTECTION</t>
  </si>
  <si>
    <t>Trestle</t>
  </si>
  <si>
    <t>P1P7SH</t>
  </si>
  <si>
    <t>5/30 JSS</t>
  </si>
  <si>
    <t>OWNERHIP</t>
  </si>
  <si>
    <t>Two Mile</t>
  </si>
  <si>
    <t>5/25, ASM</t>
  </si>
  <si>
    <t>Garden Creek</t>
  </si>
  <si>
    <t>5/17 IK</t>
  </si>
  <si>
    <t>Flatiron</t>
  </si>
  <si>
    <t>Mill Creek</t>
  </si>
  <si>
    <t xml:space="preserve">P1P78Q </t>
  </si>
  <si>
    <t>7/6/23 MS</t>
  </si>
  <si>
    <t>MFD</t>
  </si>
  <si>
    <t>4 Mile Creek</t>
  </si>
  <si>
    <t>5/25 ASM</t>
  </si>
  <si>
    <t>LG04 - Missoula</t>
  </si>
  <si>
    <t>Cromwell Creek</t>
  </si>
  <si>
    <t>LG05 - Lewis &amp; Clark</t>
  </si>
  <si>
    <t>County Line</t>
  </si>
  <si>
    <t>LG07 - Flathead</t>
  </si>
  <si>
    <t>Skyway</t>
  </si>
  <si>
    <t>P1EKT4 / 763999</t>
  </si>
  <si>
    <t>LG13 - Ravali</t>
  </si>
  <si>
    <t>Clark Creek</t>
  </si>
  <si>
    <t>LG15 - Lake</t>
  </si>
  <si>
    <t>Camelflage H09</t>
  </si>
  <si>
    <t>5/25 MAF</t>
  </si>
  <si>
    <t>LG28 - Powell</t>
  </si>
  <si>
    <t>Johnson Creek</t>
  </si>
  <si>
    <t>Cougar Way</t>
  </si>
  <si>
    <t>YTD Updated 6/28</t>
  </si>
  <si>
    <t>LG46 - Granite</t>
  </si>
  <si>
    <t>Howard Creek</t>
  </si>
  <si>
    <t>7/5 IK</t>
  </si>
  <si>
    <t>Eddy Creek</t>
  </si>
  <si>
    <t>P1QB5T</t>
  </si>
  <si>
    <t>7/6/23 SP</t>
  </si>
  <si>
    <t>FHA</t>
  </si>
  <si>
    <t>Two Tree</t>
  </si>
  <si>
    <t>7/7 sp</t>
  </si>
  <si>
    <t>BDF</t>
  </si>
  <si>
    <t xml:space="preserve">477 Road </t>
  </si>
  <si>
    <t>P1QCT6</t>
  </si>
  <si>
    <t>8/11 BP</t>
  </si>
  <si>
    <t>BRF</t>
  </si>
  <si>
    <t>Terrace Lake</t>
  </si>
  <si>
    <t>P1QC8B</t>
  </si>
  <si>
    <t>7/17 EM</t>
  </si>
  <si>
    <t>MM 11.5</t>
  </si>
  <si>
    <t>P1QD0U</t>
  </si>
  <si>
    <t>7/24 MAF</t>
  </si>
  <si>
    <t>HLF</t>
  </si>
  <si>
    <t>Holloman</t>
  </si>
  <si>
    <t>P1QD08</t>
  </si>
  <si>
    <t>8/17/23 SP</t>
  </si>
  <si>
    <t>IPF</t>
  </si>
  <si>
    <t>Roland Summit</t>
  </si>
  <si>
    <t>P1QD1S</t>
  </si>
  <si>
    <t>YTD Updated 7/20 RCS</t>
  </si>
  <si>
    <t>KNF</t>
  </si>
  <si>
    <t>Kreis</t>
  </si>
  <si>
    <t>P1QEQ9 / 903181</t>
  </si>
  <si>
    <t>Y - MAF</t>
  </si>
  <si>
    <t>8/1/23 SP</t>
  </si>
  <si>
    <t>NCF</t>
  </si>
  <si>
    <t>Mill Creek Road</t>
  </si>
  <si>
    <t>P1QEZ8</t>
  </si>
  <si>
    <t>CES</t>
  </si>
  <si>
    <t>Six Mile</t>
  </si>
  <si>
    <t>10/25 RCS</t>
  </si>
  <si>
    <r>
      <t xml:space="preserve">Note: Fires </t>
    </r>
    <r>
      <rPr>
        <i/>
        <u/>
        <sz val="10"/>
        <rFont val="Arial"/>
        <family val="2"/>
      </rPr>
      <t>cannot</t>
    </r>
    <r>
      <rPr>
        <i/>
        <sz val="10"/>
        <rFont val="Arial"/>
        <family val="2"/>
      </rPr>
      <t xml:space="preserve"> be complexed unless they meet large fire criteria - 100 ac in timber, 300 ac in grass.
Fires </t>
    </r>
    <r>
      <rPr>
        <u/>
        <sz val="10"/>
        <rFont val="Arial"/>
        <family val="2"/>
      </rPr>
      <t>should not</t>
    </r>
    <r>
      <rPr>
        <i/>
        <sz val="10"/>
        <rFont val="Arial"/>
        <family val="2"/>
      </rPr>
      <t xml:space="preserve"> be complexed if they are human caused (fire businees anagement suggestion)</t>
    </r>
  </si>
  <si>
    <t>Little Joe Creek</t>
  </si>
  <si>
    <t>P1QF7V</t>
  </si>
  <si>
    <t>8/17/23 MS</t>
  </si>
  <si>
    <t>Sawmill Gulch</t>
  </si>
  <si>
    <t>P1QGB8</t>
  </si>
  <si>
    <t>7/31 ELI</t>
  </si>
  <si>
    <t>Big Eddy</t>
  </si>
  <si>
    <t>P1QG5C</t>
  </si>
  <si>
    <t>8/10 VRS</t>
  </si>
  <si>
    <t>Cabin Lake</t>
  </si>
  <si>
    <t>P1QHM5</t>
  </si>
  <si>
    <t>8/5 VRS</t>
  </si>
  <si>
    <t>Mile Marker 15</t>
  </si>
  <si>
    <t>P1QHA2</t>
  </si>
  <si>
    <t>8/7 DJS</t>
  </si>
  <si>
    <t xml:space="preserve">Exit 82 </t>
  </si>
  <si>
    <t>P1QH3R</t>
  </si>
  <si>
    <t>Mullan Gulch</t>
  </si>
  <si>
    <t>P1QH7B</t>
  </si>
  <si>
    <t>YTD STATS UPDATED</t>
  </si>
  <si>
    <t>8/12 MWM</t>
  </si>
  <si>
    <t>Marker 59</t>
  </si>
  <si>
    <t>P1QJL4</t>
  </si>
  <si>
    <t>8/11 MAF</t>
  </si>
  <si>
    <t>+3 to LNF for 9/16</t>
  </si>
  <si>
    <t>YTD Stats updated 9/3</t>
  </si>
  <si>
    <t>Barn 83</t>
  </si>
  <si>
    <t>P1QK39</t>
  </si>
  <si>
    <t>East Fork</t>
  </si>
  <si>
    <t>6 LC for 1 AC MS</t>
  </si>
  <si>
    <t>8/30/23 IK</t>
  </si>
  <si>
    <t>Stoney</t>
  </si>
  <si>
    <t>(see above)</t>
  </si>
  <si>
    <t>9/11/23 MWM</t>
  </si>
  <si>
    <t>Lookout</t>
  </si>
  <si>
    <t xml:space="preserve">9/14 RCS </t>
  </si>
  <si>
    <t>9/14 RCS</t>
  </si>
  <si>
    <t>Silcox Lane</t>
  </si>
  <si>
    <t>MM 55</t>
  </si>
  <si>
    <t xml:space="preserve"> </t>
  </si>
  <si>
    <t>Railroad MM 152</t>
  </si>
  <si>
    <t>P1QL6G</t>
  </si>
  <si>
    <t>1 H for 0 ac RCS</t>
  </si>
  <si>
    <t>9/1 MEM</t>
  </si>
  <si>
    <t>+20 to LNF 9/20, +6 acres to LNF 9.27 JEM</t>
  </si>
  <si>
    <t>20 LNF acres LC to sit 9/19 Ian keegan</t>
  </si>
  <si>
    <t>Lozeau</t>
  </si>
  <si>
    <t>P1QM39</t>
  </si>
  <si>
    <t>1 new HC for 0 ac - MAF</t>
  </si>
  <si>
    <t>9/12 MS</t>
  </si>
  <si>
    <t>1 HC for 0 acres - MS 9/12</t>
  </si>
  <si>
    <t>10/19 MF</t>
  </si>
  <si>
    <t>1 LC for 3 acres - MS 9/12</t>
  </si>
  <si>
    <t>Isaak</t>
  </si>
  <si>
    <t>P1QM7B</t>
  </si>
  <si>
    <t>Corrected 9/14</t>
  </si>
  <si>
    <t>4 HC for 15 acres RCS</t>
  </si>
  <si>
    <t>Cedar Creek</t>
  </si>
  <si>
    <t>P1QNL6</t>
  </si>
  <si>
    <t>see above</t>
  </si>
  <si>
    <t>9/26 JEM</t>
  </si>
  <si>
    <t>Iff</t>
  </si>
  <si>
    <t>P1QNQ7</t>
  </si>
  <si>
    <t xml:space="preserve">N </t>
  </si>
  <si>
    <t>RCS</t>
  </si>
  <si>
    <t>Goat</t>
  </si>
  <si>
    <t>P1QNT3</t>
  </si>
  <si>
    <t>1 new HC for 1 acre - IK 9/19</t>
  </si>
  <si>
    <t>1 HC for 0 acres - CR 9/26</t>
  </si>
  <si>
    <t>9/26 CR</t>
  </si>
  <si>
    <t>MM48</t>
  </si>
  <si>
    <t>P1QP0Q</t>
  </si>
  <si>
    <t>Blue</t>
  </si>
  <si>
    <t>P1QP9P</t>
  </si>
  <si>
    <t>Tank Creek</t>
  </si>
  <si>
    <t>P1QP97</t>
  </si>
  <si>
    <t>CR</t>
  </si>
  <si>
    <t>Cold Creek</t>
  </si>
  <si>
    <t>P1QQD9</t>
  </si>
  <si>
    <t>10/26 MF</t>
  </si>
  <si>
    <r>
      <t xml:space="preserve">SWS
PROTECTION
Acres
</t>
    </r>
    <r>
      <rPr>
        <b/>
        <i/>
        <sz val="10"/>
        <color rgb="FFFF0000"/>
        <rFont val="Arial"/>
        <family val="2"/>
      </rPr>
      <t>(Total Acres)</t>
    </r>
  </si>
  <si>
    <t>Has new acreage been added to the SIT, CAD, and YTD?</t>
  </si>
  <si>
    <t>MSO</t>
  </si>
  <si>
    <t>Highway 12</t>
  </si>
  <si>
    <t>Y UK</t>
  </si>
  <si>
    <t>7/6 RCS</t>
  </si>
  <si>
    <t>SWS SIT REPORT YTD OVERALL</t>
  </si>
  <si>
    <t>Upland</t>
  </si>
  <si>
    <t>Y, MS</t>
  </si>
  <si>
    <t>Total
SWS
Prot</t>
  </si>
  <si>
    <t>SWS Own Fires</t>
  </si>
  <si>
    <t>Protection</t>
  </si>
  <si>
    <t>200 Swanson Lane</t>
  </si>
  <si>
    <t>Y, BL</t>
  </si>
  <si>
    <t>Mount Jumbo</t>
  </si>
  <si>
    <t>Y, UK</t>
  </si>
  <si>
    <t>4/27 DJF</t>
  </si>
  <si>
    <t>Tamarack</t>
  </si>
  <si>
    <t>Y, MF</t>
  </si>
  <si>
    <t>CC</t>
  </si>
  <si>
    <t>Rocky Mountain</t>
  </si>
  <si>
    <t>Y, JSS</t>
  </si>
  <si>
    <t>North Potomac</t>
  </si>
  <si>
    <t>Y, MAH</t>
  </si>
  <si>
    <t>ASM</t>
  </si>
  <si>
    <t>Saint Vrain</t>
  </si>
  <si>
    <t>Greenough</t>
  </si>
  <si>
    <t>JSS</t>
  </si>
  <si>
    <t>Travelers Rest</t>
  </si>
  <si>
    <t>OWNERSHIP by Protection</t>
  </si>
  <si>
    <t>South Side Road</t>
  </si>
  <si>
    <t>Y, MAF</t>
  </si>
  <si>
    <t>7/6 TC</t>
  </si>
  <si>
    <t>Tea</t>
  </si>
  <si>
    <t>903073 / PNP89D</t>
  </si>
  <si>
    <t>7/13 TH</t>
  </si>
  <si>
    <t>Garnet Ave</t>
  </si>
  <si>
    <t>Camp</t>
  </si>
  <si>
    <t>Y ANB</t>
  </si>
  <si>
    <t>7/3 IK</t>
  </si>
  <si>
    <t>Wornath Road</t>
  </si>
  <si>
    <t>Wales Creek</t>
  </si>
  <si>
    <t>PNQB7T</t>
  </si>
  <si>
    <t>7/20 STP</t>
  </si>
  <si>
    <t>10/30 BL</t>
  </si>
  <si>
    <t>Mountain Creek</t>
  </si>
  <si>
    <t>PNQD7E / 903169</t>
  </si>
  <si>
    <t>Y SCH</t>
  </si>
  <si>
    <t>7/21 SCH</t>
  </si>
  <si>
    <t>Mountain Creek 2</t>
  </si>
  <si>
    <t>PNQD9X</t>
  </si>
  <si>
    <t>No</t>
  </si>
  <si>
    <t>Wapiti</t>
  </si>
  <si>
    <t>PNQEE1 / 903175</t>
  </si>
  <si>
    <t>Y BL</t>
  </si>
  <si>
    <t>8/2 NPW</t>
  </si>
  <si>
    <t>Drew</t>
  </si>
  <si>
    <t>PNQES3 / 903183</t>
  </si>
  <si>
    <t>Y MAF</t>
  </si>
  <si>
    <t>7/25 JEM</t>
  </si>
  <si>
    <t>Pearson</t>
  </si>
  <si>
    <t>Y JEM</t>
  </si>
  <si>
    <t>7/31 SCH</t>
  </si>
  <si>
    <t>PNQE4T / 903195</t>
  </si>
  <si>
    <t>8/1 MS</t>
  </si>
  <si>
    <t>Y BB</t>
  </si>
  <si>
    <t>8/17 MS</t>
  </si>
  <si>
    <t>S-Curves</t>
  </si>
  <si>
    <t>1 new H for 0 acres 7/31 MH</t>
  </si>
  <si>
    <t>7/31 Eli</t>
  </si>
  <si>
    <t>8/13 MAF</t>
  </si>
  <si>
    <t>Cow</t>
  </si>
  <si>
    <t>Grooms</t>
  </si>
  <si>
    <t>1 new HC for 0 ac 10/6 MAF</t>
  </si>
  <si>
    <t>9/10 MWM</t>
  </si>
  <si>
    <t>Bear Run</t>
  </si>
  <si>
    <t>Y. BL</t>
  </si>
  <si>
    <r>
      <t xml:space="preserve">Note: Fires </t>
    </r>
    <r>
      <rPr>
        <i/>
        <u/>
        <sz val="9"/>
        <rFont val="Arial"/>
        <family val="2"/>
      </rPr>
      <t>cannot</t>
    </r>
    <r>
      <rPr>
        <i/>
        <sz val="9"/>
        <rFont val="Arial"/>
        <family val="2"/>
      </rPr>
      <t xml:space="preserve"> be complexed unless they meet large fire criteria - 100 ac in timber, 300 ac in grass.
Fires </t>
    </r>
    <r>
      <rPr>
        <u/>
        <sz val="9"/>
        <rFont val="Arial"/>
        <family val="2"/>
      </rPr>
      <t>should not</t>
    </r>
    <r>
      <rPr>
        <i/>
        <sz val="9"/>
        <rFont val="Arial"/>
        <family val="2"/>
      </rPr>
      <t xml:space="preserve"> be complexed if they are human caused (fire businees anagement suggestion)</t>
    </r>
  </si>
  <si>
    <t>Initial Owner</t>
  </si>
  <si>
    <r>
      <t xml:space="preserve">County 
PROTECTION 
Acres
</t>
    </r>
    <r>
      <rPr>
        <b/>
        <i/>
        <sz val="10"/>
        <color rgb="FFFF0000"/>
        <rFont val="Arial"/>
        <family val="2"/>
      </rPr>
      <t>(Total Acres)</t>
    </r>
  </si>
  <si>
    <t>County 
OWNED
Acres</t>
  </si>
  <si>
    <t>Secondary County OWNER</t>
  </si>
  <si>
    <t>Secondary County 
OWNED 
Acres</t>
  </si>
  <si>
    <t>SWS
OWNED
Acres</t>
  </si>
  <si>
    <t>LNF
OWNED
Acres</t>
  </si>
  <si>
    <t>MFD
OWNED
Acres</t>
  </si>
  <si>
    <t>FHA
OWNED
Acres</t>
  </si>
  <si>
    <t>Other OWNER</t>
  </si>
  <si>
    <t>Other ACRES</t>
  </si>
  <si>
    <t>Size
Class</t>
  </si>
  <si>
    <t>Karl Court</t>
  </si>
  <si>
    <t>7/16 RCS</t>
  </si>
  <si>
    <t>County SIT Report YTD Overall</t>
  </si>
  <si>
    <t>Hellgate</t>
  </si>
  <si>
    <t>Total County Prot</t>
  </si>
  <si>
    <t>Total Prot Acres</t>
  </si>
  <si>
    <t>County Own Fires</t>
  </si>
  <si>
    <t>County Own Acres</t>
  </si>
  <si>
    <t>SWS Own Acres</t>
  </si>
  <si>
    <t>LNF Own Acres</t>
  </si>
  <si>
    <t>MFD Own Acres</t>
  </si>
  <si>
    <r>
      <t xml:space="preserve">YTD by County 
</t>
    </r>
    <r>
      <rPr>
        <b/>
        <i/>
        <sz val="12"/>
        <color rgb="FF000000"/>
        <rFont val="Arial"/>
        <family val="2"/>
      </rPr>
      <t>Protection/Ownership</t>
    </r>
  </si>
  <si>
    <t xml:space="preserve">Rowan </t>
  </si>
  <si>
    <t>7/4 sch</t>
  </si>
  <si>
    <t>Triple L</t>
  </si>
  <si>
    <t>PNQGD5 / 903229</t>
  </si>
  <si>
    <t>UPDATED YTD STATS 9/9</t>
  </si>
  <si>
    <t>NO PRIVATE ACRES!!</t>
  </si>
  <si>
    <t>RX</t>
  </si>
  <si>
    <t>C&amp;L</t>
  </si>
  <si>
    <t>MT-LG04</t>
  </si>
  <si>
    <t>MT-LG07</t>
  </si>
  <si>
    <t>MT-LG13</t>
  </si>
  <si>
    <t>MT-LG15</t>
  </si>
  <si>
    <t xml:space="preserve">PROTECTION </t>
  </si>
  <si>
    <t>MT-LG28</t>
  </si>
  <si>
    <t>MT-LG35</t>
  </si>
  <si>
    <t>MT-LG46</t>
  </si>
  <si>
    <t>MT-LG54</t>
  </si>
  <si>
    <t>MT-MFD</t>
  </si>
  <si>
    <t>MT-LNF</t>
  </si>
  <si>
    <t>MT-SWS</t>
  </si>
  <si>
    <t>MT-LG05</t>
  </si>
  <si>
    <t>OWNERSHIP</t>
  </si>
  <si>
    <t>D5 D7</t>
  </si>
  <si>
    <t>TOTAL ALL:</t>
  </si>
  <si>
    <t>LG04 - Missoula County</t>
  </si>
  <si>
    <t>MT-;G04</t>
  </si>
  <si>
    <r>
      <t>NOTE:</t>
    </r>
    <r>
      <rPr>
        <sz val="11"/>
        <color rgb="FFFF0000"/>
        <rFont val="Arial"/>
        <family val="2"/>
      </rPr>
      <t xml:space="preserve"> </t>
    </r>
    <r>
      <rPr>
        <u/>
        <sz val="11"/>
        <rFont val="Arial"/>
        <family val="2"/>
      </rPr>
      <t>All Lolo NF PILE burns</t>
    </r>
    <r>
      <rPr>
        <sz val="11"/>
        <rFont val="Arial"/>
        <family val="2"/>
      </rPr>
      <t xml:space="preserve"> fall under the district wide RX Pile Plan, The name of each Pile Burn is considered the </t>
    </r>
    <r>
      <rPr>
        <b/>
        <u/>
        <sz val="11"/>
        <rFont val="Arial"/>
        <family val="2"/>
      </rPr>
      <t>RX UNIT NAME</t>
    </r>
    <r>
      <rPr>
        <sz val="11"/>
        <rFont val="Arial"/>
        <family val="2"/>
      </rPr>
      <t xml:space="preserve">.  </t>
    </r>
  </si>
  <si>
    <t>RX Name</t>
  </si>
  <si>
    <t>New RX?</t>
  </si>
  <si>
    <t>RX Unit(s) Name</t>
  </si>
  <si>
    <t>Unit</t>
  </si>
  <si>
    <t xml:space="preserve">Sub-Unit / District </t>
  </si>
  <si>
    <t>Complexity</t>
  </si>
  <si>
    <t>Initial Acres</t>
  </si>
  <si>
    <t>Day 2</t>
  </si>
  <si>
    <t>Day 2 
Acres</t>
  </si>
  <si>
    <t>Day 3</t>
  </si>
  <si>
    <t>Day 3
Acres</t>
  </si>
  <si>
    <t>Day 4</t>
  </si>
  <si>
    <t>Day 4
Acres</t>
  </si>
  <si>
    <t>Day 5</t>
  </si>
  <si>
    <t>Day 5 
Acres</t>
  </si>
  <si>
    <r>
      <rPr>
        <b/>
        <sz val="10"/>
        <rFont val="Arial"/>
        <family val="2"/>
      </rPr>
      <t>Total</t>
    </r>
    <r>
      <rPr>
        <b/>
        <sz val="10"/>
        <color theme="1"/>
        <rFont val="Arial"/>
        <family val="2"/>
      </rPr>
      <t xml:space="preserve">
Acres</t>
    </r>
  </si>
  <si>
    <t>Unit Type</t>
  </si>
  <si>
    <t>Ignition Type</t>
  </si>
  <si>
    <t>Will fire be counted to
SIT?</t>
  </si>
  <si>
    <t>SIT Entered?</t>
  </si>
  <si>
    <t>Johnsrud Landing Piles</t>
  </si>
  <si>
    <t>Mod</t>
  </si>
  <si>
    <t>Landing Piles</t>
  </si>
  <si>
    <t>Hand</t>
  </si>
  <si>
    <t>RX YTD by UNIT</t>
  </si>
  <si>
    <t xml:space="preserve">2023 D5 RX PILES </t>
  </si>
  <si>
    <t>Tree Farm Piles</t>
  </si>
  <si>
    <t>Hand Piles</t>
  </si>
  <si>
    <t>2 acres 5/2 MS</t>
  </si>
  <si>
    <t>Unique RXs</t>
  </si>
  <si>
    <t>Total RXs</t>
  </si>
  <si>
    <t>Total RX Acres</t>
  </si>
  <si>
    <t>Unique Burn Days</t>
  </si>
  <si>
    <t>Total Burn Days</t>
  </si>
  <si>
    <t>RXs to 
SIT</t>
  </si>
  <si>
    <t>RX Acres to SIT</t>
  </si>
  <si>
    <t xml:space="preserve">D3 2023 RX Pile Plan </t>
  </si>
  <si>
    <t xml:space="preserve">Fort Missoula Admin </t>
  </si>
  <si>
    <t>Hallwood</t>
  </si>
  <si>
    <t>A2</t>
  </si>
  <si>
    <t>Broadcast</t>
  </si>
  <si>
    <t>MDC Admin Pile</t>
  </si>
  <si>
    <t>Camelflauge</t>
  </si>
  <si>
    <t>M04</t>
  </si>
  <si>
    <t>High</t>
  </si>
  <si>
    <t>Frenchtown Face</t>
  </si>
  <si>
    <t>45 acres, 5/1</t>
  </si>
  <si>
    <t>2023-24 RX Pile Plan - D7</t>
  </si>
  <si>
    <t>Second Skinny</t>
  </si>
  <si>
    <t>7 Mag</t>
  </si>
  <si>
    <t>N25</t>
  </si>
  <si>
    <t>Flat Rock EMB</t>
  </si>
  <si>
    <t>Aerial</t>
  </si>
  <si>
    <t>RX YTD by SUB-UNIT</t>
  </si>
  <si>
    <t>Clear Creek</t>
  </si>
  <si>
    <t>15B</t>
  </si>
  <si>
    <t>Lower Blackfoor Corridor / Gnome Knob</t>
  </si>
  <si>
    <t>H1</t>
  </si>
  <si>
    <t>31A 31B</t>
  </si>
  <si>
    <t>30 ac 5/3</t>
  </si>
  <si>
    <t>2 Short / Shorty</t>
  </si>
  <si>
    <t>11 ac 4/28</t>
  </si>
  <si>
    <t>Marshall Woods / Strawberry Ridge</t>
  </si>
  <si>
    <t>101 71W</t>
  </si>
  <si>
    <t>Green Breen</t>
  </si>
  <si>
    <t>B Units</t>
  </si>
  <si>
    <t>N14</t>
  </si>
  <si>
    <t>2023 D6 Piles Plan</t>
  </si>
  <si>
    <t>Seeley Admin Piles</t>
  </si>
  <si>
    <t>Controlled</t>
  </si>
  <si>
    <t>Horseshoe West</t>
  </si>
  <si>
    <t>8, 12 &amp; 32</t>
  </si>
  <si>
    <t>60 acres 9/19 - IK</t>
  </si>
  <si>
    <t>Lower Blackfoot Corridor</t>
  </si>
  <si>
    <t>F25</t>
  </si>
  <si>
    <t>Pattee Canyon Maintenance</t>
  </si>
  <si>
    <t>F01</t>
  </si>
  <si>
    <t xml:space="preserve">Hallwood </t>
  </si>
  <si>
    <t>J2</t>
  </si>
  <si>
    <t>y</t>
  </si>
  <si>
    <t xml:space="preserve">Marshall Woods </t>
  </si>
  <si>
    <t>Unit 1</t>
  </si>
  <si>
    <t>+ 10 ac 11/8 MF</t>
  </si>
  <si>
    <t>0 new RX for 40 acres 11/3 BL</t>
  </si>
  <si>
    <t>COMPLEXITY</t>
  </si>
  <si>
    <t>Johnson Camp</t>
  </si>
  <si>
    <t>J35</t>
  </si>
  <si>
    <t>YTD Updated 5/16 RCS</t>
  </si>
  <si>
    <t>by UNIT</t>
  </si>
  <si>
    <t>by SUB-UNIT</t>
  </si>
  <si>
    <t>F14</t>
  </si>
  <si>
    <t>0 RX for 12 acres 9/26 CR</t>
  </si>
  <si>
    <t>LOW</t>
  </si>
  <si>
    <t>MOD</t>
  </si>
  <si>
    <t>HIGH</t>
  </si>
  <si>
    <t xml:space="preserve">LOW </t>
  </si>
  <si>
    <t>Ranch Creek Piles</t>
  </si>
  <si>
    <t>5 ac 9/21 - BP</t>
  </si>
  <si>
    <t>Copper King</t>
  </si>
  <si>
    <t>Gold Rush</t>
  </si>
  <si>
    <t>2023 SWS Lubrecht IAES</t>
  </si>
  <si>
    <t>2023-24 RX Pile Plan - D6</t>
  </si>
  <si>
    <t>Monture</t>
  </si>
  <si>
    <t>B07 / B08</t>
  </si>
  <si>
    <t>7 ac 9/20 - STP</t>
  </si>
  <si>
    <t>Barber Gulch Piles</t>
  </si>
  <si>
    <t>0 new for 5 acres  11/3 MS</t>
  </si>
  <si>
    <t>S14</t>
  </si>
  <si>
    <t>J38</t>
  </si>
  <si>
    <t>3 ac 9/20 - IK</t>
  </si>
  <si>
    <t xml:space="preserve">Lower Blackfoot Corridor </t>
  </si>
  <si>
    <t>F6B / F7B</t>
  </si>
  <si>
    <t>482 ac 9/27 JEM</t>
  </si>
  <si>
    <t>UNIT TYPE</t>
  </si>
  <si>
    <t>Lower Blackfoot Corridor T1</t>
  </si>
  <si>
    <t>10 acres slop, 3 to LNF 7 to MFD</t>
  </si>
  <si>
    <t>Anderson Hill Salvage Piles</t>
  </si>
  <si>
    <t>YTD Updated 9/23 RCS</t>
  </si>
  <si>
    <t>BROAD</t>
  </si>
  <si>
    <t>HAND</t>
  </si>
  <si>
    <t>LAND</t>
  </si>
  <si>
    <t>Carmichael Cabin Piles</t>
  </si>
  <si>
    <t>1 RX for 2 acres 9/27 MS</t>
  </si>
  <si>
    <t>Ann Arbor Point</t>
  </si>
  <si>
    <t>4 add'l ac, LNF DJS 10/4, +45 acres 10/9 JEM</t>
  </si>
  <si>
    <t>1 RX for 35 ac 10/3 MF</t>
  </si>
  <si>
    <t xml:space="preserve">2023 RX Pile Plan - D4 </t>
  </si>
  <si>
    <t>Butler 442</t>
  </si>
  <si>
    <t>1 RX for 10 ac 10/3 MF</t>
  </si>
  <si>
    <t>Pattee Folf</t>
  </si>
  <si>
    <t>0 RX for 10 ac 10/3 MF</t>
  </si>
  <si>
    <t>ABLT Piles - Prospect</t>
  </si>
  <si>
    <t>1 RX for 40 ac 10/4 MF</t>
  </si>
  <si>
    <t>Thorne Piles</t>
  </si>
  <si>
    <t>+ 30 ac 11/7 MF</t>
  </si>
  <si>
    <t>0 RX for 30 ac 10/4 MF</t>
  </si>
  <si>
    <t>Swamp / Sheep Gap Piles</t>
  </si>
  <si>
    <t>0 RX for 33 ac 10/5 MF</t>
  </si>
  <si>
    <t>Rennic Stark 85</t>
  </si>
  <si>
    <t>Thompson Falls Admin Piles</t>
  </si>
  <si>
    <t>Pattee Canyon Nordic</t>
  </si>
  <si>
    <t>IGNITION TYPE</t>
  </si>
  <si>
    <t>Deep Lookout</t>
  </si>
  <si>
    <t>Plains Admin Piles</t>
  </si>
  <si>
    <t>50 ac 10/30 CC</t>
  </si>
  <si>
    <t>AERIAL</t>
  </si>
  <si>
    <t>Smokey Quartz Sand Gulch</t>
  </si>
  <si>
    <t>Thorne Cougar</t>
  </si>
  <si>
    <t>Horsehead</t>
  </si>
  <si>
    <t>Rennic Stark 83</t>
  </si>
  <si>
    <t>0 RX for 10 ac 10/12 MF</t>
  </si>
  <si>
    <t>Colt East Burn Plan</t>
  </si>
  <si>
    <t>Colt Fuel Break</t>
  </si>
  <si>
    <t>Marshall Woods</t>
  </si>
  <si>
    <t>1T South</t>
  </si>
  <si>
    <t>+10 ac 10/30 CC</t>
  </si>
  <si>
    <t>Lost Creek</t>
  </si>
  <si>
    <t>Swamp Eddy</t>
  </si>
  <si>
    <t>+ 20 ac 11/8 MF</t>
  </si>
  <si>
    <t>Green Breen Landing Piles</t>
  </si>
  <si>
    <t>+1 ac 10/31 MS</t>
  </si>
  <si>
    <t>YTD Updated 10/31 MS</t>
  </si>
  <si>
    <t>7Mag Landing Piles</t>
  </si>
  <si>
    <t>+ 10 acres 11/8 - MF</t>
  </si>
  <si>
    <t>0 RX for 149 acres for all 10/24 RXs RCS</t>
  </si>
  <si>
    <t>2023-24 RX Pile Plan - D4</t>
  </si>
  <si>
    <t>Smokey Quartz Meadow Creek</t>
  </si>
  <si>
    <t>Rennic Stark 21</t>
  </si>
  <si>
    <t>2023 D5 RX PILES</t>
  </si>
  <si>
    <t>Thorne Weber Gulch</t>
  </si>
  <si>
    <t xml:space="preserve">Camelflage Landing </t>
  </si>
  <si>
    <t>1 RX for 159 acres for all 10/25 fires RCS</t>
  </si>
  <si>
    <t>Johnson Camp Landing Piles</t>
  </si>
  <si>
    <t>+10 ac 11/6 CC</t>
  </si>
  <si>
    <t>0 RX for 15 acres. YTD Updated RCS</t>
  </si>
  <si>
    <t>2023-24 RX Pile Plan - D3</t>
  </si>
  <si>
    <t>Granite Pass Suppression Repair</t>
  </si>
  <si>
    <t xml:space="preserve"> Moncure 422</t>
  </si>
  <si>
    <t>Cromwell 417</t>
  </si>
  <si>
    <t>Westside Bypass Piles</t>
  </si>
  <si>
    <t>Lower Blackfoot Corridor HF3</t>
  </si>
  <si>
    <t>+10 ac 11/1 MF</t>
  </si>
  <si>
    <t>Second Chance Landings</t>
  </si>
  <si>
    <t>0 RXs for 135 acres for all 10/30 RXs RCS</t>
  </si>
  <si>
    <t>2023-24 Pile Plan - D4</t>
  </si>
  <si>
    <t>Clearwater Crossing</t>
  </si>
  <si>
    <t>0 RXs for 32 acres for all 10/31 RXs MF</t>
  </si>
  <si>
    <t>Hallwood Piles</t>
  </si>
  <si>
    <t>+ 7 acres 11/7  MF</t>
  </si>
  <si>
    <t>+17 ac 11/8 MF</t>
  </si>
  <si>
    <t>0 new for 15 ac 11/13  MS</t>
  </si>
  <si>
    <t>+17 ac 11/2 MS</t>
  </si>
  <si>
    <t>0 RXs for 60 acres for all LNF RXs 11/1 - MF</t>
  </si>
  <si>
    <t>Chamberlain LP HF</t>
  </si>
  <si>
    <t>1 new RX for 300 acres 11/1 MF</t>
  </si>
  <si>
    <t>2023-24 RX Pile Plan - D5</t>
  </si>
  <si>
    <t>Shorty Piles</t>
  </si>
  <si>
    <t>+ 3 ac 11/8 MF</t>
  </si>
  <si>
    <t>Chippy Piles</t>
  </si>
  <si>
    <t>+4 ac 11/6 CC</t>
  </si>
  <si>
    <t>2023-24 Pile Plan - D3</t>
  </si>
  <si>
    <t>Marshall Woods Moy</t>
  </si>
  <si>
    <r>
      <rPr>
        <b/>
        <sz val="10"/>
        <rFont val="Arial"/>
        <family val="2"/>
      </rPr>
      <t>2023-24 Pile Plan - D7</t>
    </r>
    <r>
      <rPr>
        <b/>
        <sz val="10"/>
        <color rgb="FFFF0000"/>
        <rFont val="Arial"/>
        <family val="2"/>
      </rPr>
      <t xml:space="preserve"> </t>
    </r>
  </si>
  <si>
    <t>Eddy Creek Piles</t>
  </si>
  <si>
    <t xml:space="preserve">Marshall Woods 81E </t>
  </si>
  <si>
    <t>All RXs 11/7 - 0 new RX for 134 ac 11/7 - MF</t>
  </si>
  <si>
    <t>Pattee Nordic East</t>
  </si>
  <si>
    <t>All RXs 11/8 - 0 new RX for 80 ac 11/8 MF</t>
  </si>
  <si>
    <t>Human Caused</t>
  </si>
  <si>
    <t>Human Acres</t>
  </si>
  <si>
    <t>Lightning Caused</t>
  </si>
  <si>
    <t>Lightning Acres</t>
  </si>
  <si>
    <t>RX Fires</t>
  </si>
  <si>
    <t>RX Acres</t>
  </si>
  <si>
    <t>USE TO UPDATE YTD STATS IN SIT</t>
  </si>
  <si>
    <t>YTD Stats of OWNERSHIP by PROTECTION UNIT</t>
  </si>
  <si>
    <t>Totals by PROTECTION</t>
  </si>
  <si>
    <t>LNF - Lolo National Forest</t>
  </si>
  <si>
    <t>MFD - Missoula Field Office BLM</t>
  </si>
  <si>
    <t>C&amp;L - County (MDC Only)</t>
  </si>
  <si>
    <t>BLM</t>
  </si>
  <si>
    <t>D3 - Missoula RD</t>
  </si>
  <si>
    <t>FS</t>
  </si>
  <si>
    <t>SWS - MT DNRC Sothwest Land Office (MDC Only)</t>
  </si>
  <si>
    <t>D4 - Ninemile RD</t>
  </si>
  <si>
    <t>LG05 - Lewis &amp; Clark County</t>
  </si>
  <si>
    <t>MSO - Missoula Unit</t>
  </si>
  <si>
    <t>D5 - Plains &amp; Thompson Falls RD</t>
  </si>
  <si>
    <t>LG07 - Flathead County</t>
  </si>
  <si>
    <t>CLW - Clearwater Unit</t>
  </si>
  <si>
    <t>D6 - Seeley Lake RD</t>
  </si>
  <si>
    <t>LG13 - Ravali County</t>
  </si>
  <si>
    <t>D7 - Superior RD</t>
  </si>
  <si>
    <t>LG15 - Lake County</t>
  </si>
  <si>
    <t>MT-BDF</t>
  </si>
  <si>
    <t>MT-BRF</t>
  </si>
  <si>
    <t>MT-FNF</t>
  </si>
  <si>
    <t>LG28 - Powell County</t>
  </si>
  <si>
    <t>MT-HLF</t>
  </si>
  <si>
    <t>MT-IPF</t>
  </si>
  <si>
    <t>MT-KNF</t>
  </si>
  <si>
    <t>LG35 - Sanders County</t>
  </si>
  <si>
    <t>ID-NCF</t>
  </si>
  <si>
    <t>MT-CES</t>
  </si>
  <si>
    <t>MT-NWS</t>
  </si>
  <si>
    <t>LG46 - Granite County</t>
  </si>
  <si>
    <t>ST</t>
  </si>
  <si>
    <t>LG54 - Mineral County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</si>
  <si>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</si>
  <si>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</si>
  <si>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</si>
  <si>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</si>
  <si>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</si>
  <si>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</si>
  <si>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</si>
  <si>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</si>
  <si>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</si>
  <si>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</si>
  <si>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</si>
  <si>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</si>
  <si>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/>
  </si>
  <si>
    <t>Precipitation total in the previous:</t>
  </si>
  <si>
    <t>MSO102</t>
  </si>
  <si>
    <t>Station</t>
  </si>
  <si>
    <t>Info</t>
  </si>
  <si>
    <t>2 days</t>
  </si>
  <si>
    <t>5 days</t>
  </si>
  <si>
    <t>7 days</t>
  </si>
  <si>
    <t>10 days</t>
  </si>
  <si>
    <t>30 days</t>
  </si>
  <si>
    <t>CRKI1 _x000D_
CORRAL CREEK</t>
  </si>
  <si>
    <t>RAWS _x000D_
2690 ft</t>
  </si>
  <si>
    <t>DNFI1 _x000D_
DENT</t>
  </si>
  <si>
    <t>RAWS _x000D_
1700 ft</t>
  </si>
  <si>
    <t>0.00</t>
  </si>
  <si>
    <t>0.06</t>
  </si>
  <si>
    <t>0.99</t>
  </si>
  <si>
    <t>TT803 _x000D_
JOSEPH PLAINS</t>
  </si>
  <si>
    <t>RAWS _x000D_
4449 ft</t>
  </si>
  <si>
    <t>0.01</t>
  </si>
  <si>
    <t>0.03</t>
  </si>
  <si>
    <t>1.36</t>
  </si>
  <si>
    <t>MISI1 _x000D_
MISSION CREEK</t>
  </si>
  <si>
    <t>RAWS _x000D_
3411 ft</t>
  </si>
  <si>
    <t>PIEI1 _x000D_
PIERCE</t>
  </si>
  <si>
    <t>RAWS _x000D_
3085 ft</t>
  </si>
  <si>
    <t>0.16</t>
  </si>
  <si>
    <t>1.71</t>
  </si>
  <si>
    <t>PLFI1 _x000D_
PITTSBURG LANDING</t>
  </si>
  <si>
    <t>RAWS _x000D_
1357 ft</t>
  </si>
  <si>
    <t>0.07</t>
  </si>
  <si>
    <t>1.31</t>
  </si>
  <si>
    <t>POTI1 _x000D_
POTLATCH</t>
  </si>
  <si>
    <t>RAWS _x000D_
2500 ft</t>
  </si>
  <si>
    <t>SHCI1 _x000D_
SHOCK</t>
  </si>
  <si>
    <t>RAWS _x000D_
3687 ft</t>
  </si>
  <si>
    <t>SCFI1 _x000D_
SLATE CREEK</t>
  </si>
  <si>
    <t>RAWS _x000D_
1568 ft</t>
  </si>
  <si>
    <t>1.15</t>
  </si>
  <si>
    <t>TR259 _x000D_
TESS - PORTABLE</t>
  </si>
  <si>
    <t>RAWS _x000D_
3850 ft</t>
  </si>
  <si>
    <t>0.23</t>
  </si>
  <si>
    <t>1.58</t>
  </si>
  <si>
    <t>0.11</t>
  </si>
  <si>
    <t>1.38</t>
  </si>
  <si>
    <t>MSO103</t>
  </si>
  <si>
    <t>TT118 _x000D_
EAGLE</t>
  </si>
  <si>
    <t>RAWS _x000D_
5585 ft</t>
  </si>
  <si>
    <t>0.15</t>
  </si>
  <si>
    <t>0.37</t>
  </si>
  <si>
    <t>2.45</t>
  </si>
  <si>
    <t>FERI1 _x000D_
FENN</t>
  </si>
  <si>
    <t>RAWS _x000D_
1520 ft</t>
  </si>
  <si>
    <t>0.02</t>
  </si>
  <si>
    <t>1.48</t>
  </si>
  <si>
    <t>KELI1 _x000D_
KELLY</t>
  </si>
  <si>
    <t>RAWS _x000D_
2739 ft</t>
  </si>
  <si>
    <t>0.14</t>
  </si>
  <si>
    <t>0.27</t>
  </si>
  <si>
    <t>2.29</t>
  </si>
  <si>
    <t>MRHI1 _x000D_
MARIAH</t>
  </si>
  <si>
    <t>RAWS _x000D_
3410 ft</t>
  </si>
  <si>
    <t>1.22</t>
  </si>
  <si>
    <t>MOOI1 _x000D_
MOOSE CREEK</t>
  </si>
  <si>
    <t>RAWS _x000D_
2460 ft</t>
  </si>
  <si>
    <t>0.09</t>
  </si>
  <si>
    <t>1.29</t>
  </si>
  <si>
    <t>TS256 _x000D_
OPHELIA PORTABLE</t>
  </si>
  <si>
    <t>RAWS _x000D_
6116 ft</t>
  </si>
  <si>
    <t>0.26</t>
  </si>
  <si>
    <t>0.41</t>
  </si>
  <si>
    <t>2.24</t>
  </si>
  <si>
    <t>SVFI1 _x000D_
POWELL</t>
  </si>
  <si>
    <t>RAWS _x000D_
3666 ft</t>
  </si>
  <si>
    <t>0.05</t>
  </si>
  <si>
    <t>1.26</t>
  </si>
  <si>
    <t>RRFI1 _x000D_
RED RIVER</t>
  </si>
  <si>
    <t>RAWS _x000D_
4600 ft</t>
  </si>
  <si>
    <t>1.18</t>
  </si>
  <si>
    <t>RONI1 _x000D_
ROUNDTOP</t>
  </si>
  <si>
    <t>RAWS _x000D_
6560 ft</t>
  </si>
  <si>
    <t>SOUI1 _x000D_
SOUTHFORK</t>
  </si>
  <si>
    <t>RAWS _x000D_
4570 ft</t>
  </si>
  <si>
    <t>0.08</t>
  </si>
  <si>
    <t>2.05</t>
  </si>
  <si>
    <t>SYRI1 _x000D_
SYRINGA</t>
  </si>
  <si>
    <t>RAWS _x000D_
3377 ft</t>
  </si>
  <si>
    <t>0.60</t>
  </si>
  <si>
    <t>2.44</t>
  </si>
  <si>
    <t>0.21</t>
  </si>
  <si>
    <t>1.64</t>
  </si>
  <si>
    <t>MSO104</t>
  </si>
  <si>
    <t>BIFM8 _x000D_
BC BALDY</t>
  </si>
  <si>
    <t>RAWS _x000D_
4300 ft</t>
  </si>
  <si>
    <t>0.20</t>
  </si>
  <si>
    <t>0.42</t>
  </si>
  <si>
    <t>1.62</t>
  </si>
  <si>
    <t>TT726 _x000D_
BLACKTAIL</t>
  </si>
  <si>
    <t>RAWS _x000D_
5675 ft</t>
  </si>
  <si>
    <t>BOOM8 _x000D_
BOORMAN</t>
  </si>
  <si>
    <t>RAWS _x000D_
3963 ft</t>
  </si>
  <si>
    <t>1.10</t>
  </si>
  <si>
    <t>TRCM8 _x000D_
CABINET (TROUT CREEK</t>
  </si>
  <si>
    <t>RAWS _x000D_
2379 ft</t>
  </si>
  <si>
    <t>0.96</t>
  </si>
  <si>
    <t>TT514 _x000D_
CABINET PORTABLE 1</t>
  </si>
  <si>
    <t>RAWS _x000D_
5217 ft</t>
  </si>
  <si>
    <t>2.34</t>
  </si>
  <si>
    <t>EURM8 _x000D_
EUREKA</t>
  </si>
  <si>
    <t>RAWS _x000D_
2632 ft</t>
  </si>
  <si>
    <t>0.12</t>
  </si>
  <si>
    <t>0.39</t>
  </si>
  <si>
    <t>0.47</t>
  </si>
  <si>
    <t>0.88</t>
  </si>
  <si>
    <t>FIRM8 _x000D_
FISHER RIVER</t>
  </si>
  <si>
    <t>RAWS _x000D_
2160 ft</t>
  </si>
  <si>
    <t>0.84</t>
  </si>
  <si>
    <t>TT166 _x000D_
KNF PORTABLE 2</t>
  </si>
  <si>
    <t>RAWS _x000D_
3222 ft</t>
  </si>
  <si>
    <t>0.18</t>
  </si>
  <si>
    <t>0.65</t>
  </si>
  <si>
    <t>TT230 _x000D_
KOOTENAI PORTABLE #3</t>
  </si>
  <si>
    <t>RAWS _x000D_
3213 ft</t>
  </si>
  <si>
    <t>0.93</t>
  </si>
  <si>
    <t>LBBM8 _x000D_
LIBBY</t>
  </si>
  <si>
    <t>RAWS _x000D_
2070 ft</t>
  </si>
  <si>
    <t>0.10</t>
  </si>
  <si>
    <t>0.89</t>
  </si>
  <si>
    <t>TT064 _x000D_
SWANEY</t>
  </si>
  <si>
    <t>RAWS _x000D_
4980 ft</t>
  </si>
  <si>
    <t>0.13</t>
  </si>
  <si>
    <t>0.34</t>
  </si>
  <si>
    <t>1.42</t>
  </si>
  <si>
    <t>SPBM8 _x000D_
TALLY LAKE QD</t>
  </si>
  <si>
    <t>RAWS _x000D_
4663 ft</t>
  </si>
  <si>
    <t>TROM8 _x000D_
TROY</t>
  </si>
  <si>
    <t>RAWS _x000D_
1950 ft</t>
  </si>
  <si>
    <t>0.24</t>
  </si>
  <si>
    <t>1.69</t>
  </si>
  <si>
    <t>YKAM8 _x000D_
YAAK (UPPER FORD)</t>
  </si>
  <si>
    <t>RAWS _x000D_
3000 ft</t>
  </si>
  <si>
    <t>0.69</t>
  </si>
  <si>
    <t>1.78</t>
  </si>
  <si>
    <t>1.25</t>
  </si>
  <si>
    <t>MSO105</t>
  </si>
  <si>
    <t>TR283 _x000D_
BIG PRAIRIE QD</t>
  </si>
  <si>
    <t>RAWS _x000D_
4595 ft</t>
  </si>
  <si>
    <t>CONM8 _x000D_
CONDON WORK CENTER</t>
  </si>
  <si>
    <t>RAWS _x000D_
3684 ft</t>
  </si>
  <si>
    <t>0.17</t>
  </si>
  <si>
    <t>0.19</t>
  </si>
  <si>
    <t>0.64</t>
  </si>
  <si>
    <t>2.56</t>
  </si>
  <si>
    <t>FIEM8 _x000D_
FIELDING</t>
  </si>
  <si>
    <t>RAWS _x000D_
4641 ft</t>
  </si>
  <si>
    <t>0.54</t>
  </si>
  <si>
    <t>0.72</t>
  </si>
  <si>
    <t>CYFM8 _x000D_
HORNET</t>
  </si>
  <si>
    <t>RAWS _x000D_
6500 ft</t>
  </si>
  <si>
    <t>0.32</t>
  </si>
  <si>
    <t>0.51</t>
  </si>
  <si>
    <t>HNYM8 _x000D_
HUNGRY HORSE</t>
  </si>
  <si>
    <t>RAWS _x000D_
3123 ft</t>
  </si>
  <si>
    <t>0.45</t>
  </si>
  <si>
    <t>1.88</t>
  </si>
  <si>
    <t>POEM8 _x000D_
POLEBRIDGE</t>
  </si>
  <si>
    <t>RAWS _x000D_
3574 ft</t>
  </si>
  <si>
    <t>0.25</t>
  </si>
  <si>
    <t>1.07</t>
  </si>
  <si>
    <t>TS949 _x000D_
PONY CREEK</t>
  </si>
  <si>
    <t>RAWS _x000D_
5510 ft</t>
  </si>
  <si>
    <t>0.35</t>
  </si>
  <si>
    <t>1.63</t>
  </si>
  <si>
    <t>TT727 _x000D_
SPOTTED BEAR LOOKOUT</t>
  </si>
  <si>
    <t>RAWS _x000D_
7202 ft</t>
  </si>
  <si>
    <t>0.29</t>
  </si>
  <si>
    <t>0.40</t>
  </si>
  <si>
    <t>0.87</t>
  </si>
  <si>
    <t>SPOM8 _x000D_
SPOTTED BEAR RS</t>
  </si>
  <si>
    <t>RAWS _x000D_
3725 ft</t>
  </si>
  <si>
    <t>0.63</t>
  </si>
  <si>
    <t>SRYM8 _x000D_
ST. MARY</t>
  </si>
  <si>
    <t>RAWS _x000D_
4557 ft</t>
  </si>
  <si>
    <t>STWM8 _x000D_
STILLWATER</t>
  </si>
  <si>
    <t>RAWS _x000D_
3116 ft</t>
  </si>
  <si>
    <t>0.30</t>
  </si>
  <si>
    <t>TT339 _x000D_
SWAN LAKE FIRE QD</t>
  </si>
  <si>
    <t>RAWS _x000D_
3621 ft</t>
  </si>
  <si>
    <t>WGRM8 _x000D_
WEST GLACIER</t>
  </si>
  <si>
    <t>RAWS _x000D_
3165 ft</t>
  </si>
  <si>
    <t>1.98</t>
  </si>
  <si>
    <t>1.40</t>
  </si>
  <si>
    <t>MSO106</t>
  </si>
  <si>
    <t>BLMM8 _x000D_
BLUE MTN</t>
  </si>
  <si>
    <t>RAWS _x000D_
3412 ft</t>
  </si>
  <si>
    <t>0.04</t>
  </si>
  <si>
    <t>0.97</t>
  </si>
  <si>
    <t>TR286 _x000D_
LOLO PORTABLE #2</t>
  </si>
  <si>
    <t>RAWS _x000D_
4328 ft</t>
  </si>
  <si>
    <t>1.12</t>
  </si>
  <si>
    <t>TT710 _x000D_
LOLO PORTABLE #6</t>
  </si>
  <si>
    <t>RAWS _x000D_
4420 ft</t>
  </si>
  <si>
    <t>NINM8 _x000D_
NINE MILE</t>
  </si>
  <si>
    <t>RAWS _x000D_
3314 ft</t>
  </si>
  <si>
    <t>1.32</t>
  </si>
  <si>
    <t>PRDM8 _x000D_
PARDEE</t>
  </si>
  <si>
    <t>RAWS _x000D_
4569 ft</t>
  </si>
  <si>
    <t>1.02</t>
  </si>
  <si>
    <t>PLAM8 _x000D_
PLAINS</t>
  </si>
  <si>
    <t>RAWS _x000D_
2481 ft</t>
  </si>
  <si>
    <t>0.79</t>
  </si>
  <si>
    <t>STGM8 _x000D_
ST. REGIS</t>
  </si>
  <si>
    <t>RAWS _x000D_
2678 ft</t>
  </si>
  <si>
    <t>THAM8 _x000D_
THOMPSON FALLS A/P</t>
  </si>
  <si>
    <t>RAWS _x000D_
2426 ft</t>
  </si>
  <si>
    <t>0.86</t>
  </si>
  <si>
    <t>0.90</t>
  </si>
  <si>
    <t>MSO107</t>
  </si>
  <si>
    <t>FINM8 _x000D_
FINNEYS MEADOW QD</t>
  </si>
  <si>
    <t>RAWS _x000D_
4441 ft</t>
  </si>
  <si>
    <t>0.36</t>
  </si>
  <si>
    <t>HOTM8 _x000D_
HOT SPRINGS</t>
  </si>
  <si>
    <t>RAWS _x000D_
2730 ft</t>
  </si>
  <si>
    <t>JETM8 _x000D_
JETTE</t>
  </si>
  <si>
    <t>RAWS _x000D_
3593 ft</t>
  </si>
  <si>
    <t>0.83</t>
  </si>
  <si>
    <t>PSTM8 _x000D_
PISTOL CREEK</t>
  </si>
  <si>
    <t>RAWS _x000D_
6043 ft</t>
  </si>
  <si>
    <t>1.53</t>
  </si>
  <si>
    <t>PNTM8 _x000D_
POINT 6</t>
  </si>
  <si>
    <t>RAWS _x000D_
7897 ft</t>
  </si>
  <si>
    <t>RONM8 _x000D_
RONAN</t>
  </si>
  <si>
    <t>RAWS _x000D_
3068 ft</t>
  </si>
  <si>
    <t>1.05</t>
  </si>
  <si>
    <t>MSO108</t>
  </si>
  <si>
    <t>CLWM8 _x000D_
CLEARWATER</t>
  </si>
  <si>
    <t>RAWS _x000D_
3839 ft</t>
  </si>
  <si>
    <t>MOMM8 _x000D_
FIRE EFFECTS PORTABL</t>
  </si>
  <si>
    <t>RAWS _x000D_
3966 ft</t>
  </si>
  <si>
    <t>1.37</t>
  </si>
  <si>
    <t>HYGM8 _x000D_
HARVEY GROUSE</t>
  </si>
  <si>
    <t>RAWS _x000D_
5386 ft</t>
  </si>
  <si>
    <t>TT350 _x000D_
LOLO PORTABLE #5</t>
  </si>
  <si>
    <t>RAWS _x000D_
6900 ft</t>
  </si>
  <si>
    <t>MSLM8 _x000D_
MISSOULA QD1</t>
  </si>
  <si>
    <t>RAWS _x000D_
3817 ft</t>
  </si>
  <si>
    <t>0.28</t>
  </si>
  <si>
    <t>SEEM8 _x000D_
SEELEY LAKE</t>
  </si>
  <si>
    <t>RAWS _x000D_
4130 ft</t>
  </si>
  <si>
    <t>STKM8 _x000D_
STINKWATER CREEK</t>
  </si>
  <si>
    <t>RAWS _x000D_
5443 ft</t>
  </si>
  <si>
    <t>0.22</t>
  </si>
  <si>
    <t>1.00</t>
  </si>
  <si>
    <t>0.75</t>
  </si>
  <si>
    <t>MSO109</t>
  </si>
  <si>
    <t>TR285 _x000D_
BITTERROOT QD#1 - PO</t>
  </si>
  <si>
    <t>RAWS _x000D_
4873 ft</t>
  </si>
  <si>
    <t>TS495 _x000D_
BITTERROOT QD#2 - PO</t>
  </si>
  <si>
    <t>RAWS _x000D_
5339 ft</t>
  </si>
  <si>
    <t>TT772 _x000D_
BITTERROOT QD#4 - PO</t>
  </si>
  <si>
    <t>RAWS _x000D_
6269 ft</t>
  </si>
  <si>
    <t>0.46</t>
  </si>
  <si>
    <t>DEEM8 _x000D_
DEER MOUNTAIN</t>
  </si>
  <si>
    <t>RAWS _x000D_
7282 ft</t>
  </si>
  <si>
    <t>0.78</t>
  </si>
  <si>
    <t>GPRM8 _x000D_
GIRD POINT</t>
  </si>
  <si>
    <t>RAWS _x000D_
6950 ft</t>
  </si>
  <si>
    <t>HHAI1 _x000D_
HELLS HALF</t>
  </si>
  <si>
    <t>RAWS _x000D_
8100 ft</t>
  </si>
  <si>
    <t>LRCM8 _x000D_
LITTLE ROCK CREEK</t>
  </si>
  <si>
    <t>RAWS _x000D_
5507 ft</t>
  </si>
  <si>
    <t>0.73</t>
  </si>
  <si>
    <t>OBRM8 _x000D_
OBRIEN RIDGE</t>
  </si>
  <si>
    <t>RAWS _x000D_
7889 ft</t>
  </si>
  <si>
    <t>1.39</t>
  </si>
  <si>
    <t>SAWM8 _x000D_
SAWMILL CREEK</t>
  </si>
  <si>
    <t>RAWS _x000D_
5540 ft</t>
  </si>
  <si>
    <t>SMTM8 _x000D_
SMITH CREEK</t>
  </si>
  <si>
    <t>RAWS _x000D_
5650 ft</t>
  </si>
  <si>
    <t>TT701 _x000D_
SOFT ROCK</t>
  </si>
  <si>
    <t>RAWS _x000D_
4091 ft</t>
  </si>
  <si>
    <t>STVM8 _x000D_
STEVI</t>
  </si>
  <si>
    <t>RAWS _x000D_
3205 ft</t>
  </si>
  <si>
    <t>0.62</t>
  </si>
  <si>
    <t>SUAM8 _x000D_
SULA</t>
  </si>
  <si>
    <t>TEPM8 _x000D_
TEPEE PT</t>
  </si>
  <si>
    <t>RAWS _x000D_
6629 ft</t>
  </si>
  <si>
    <t>0.80</t>
  </si>
  <si>
    <t>WSFM8 _x000D_
WEST FORK</t>
  </si>
  <si>
    <t>0.49</t>
  </si>
  <si>
    <t>MSO110</t>
  </si>
  <si>
    <t>FCRM8 _x000D_
FRENCH CREEK</t>
  </si>
  <si>
    <t>RAWS _x000D_
7422 ft</t>
  </si>
  <si>
    <t>PHGM8 _x000D_
PHILIPSBURG</t>
  </si>
  <si>
    <t>RAWS _x000D_
5280 ft</t>
  </si>
  <si>
    <t>SLCM8 _x000D_
STEELE CREEK</t>
  </si>
  <si>
    <t>RAWS _x000D_
6405 ft</t>
  </si>
  <si>
    <t>WRSM8 _x000D_
WISE RIVER</t>
  </si>
  <si>
    <t>RAWS _x000D_
5794 ft</t>
  </si>
  <si>
    <t>YNKM8 _x000D_
YANKEE FLAT</t>
  </si>
  <si>
    <t>RAWS _x000D_
6000 ft</t>
  </si>
  <si>
    <t>MSO111</t>
  </si>
  <si>
    <t>LMRM8 _x000D_
ANTELOPE</t>
  </si>
  <si>
    <t>RAWS _x000D_
6795 ft</t>
  </si>
  <si>
    <t>BDLM8 _x000D_
BEAVERHEAD DEERLODGE</t>
  </si>
  <si>
    <t>RAWS _x000D_
6575 ft</t>
  </si>
  <si>
    <t>BRRM8 _x000D_
BRENNER</t>
  </si>
  <si>
    <t>RAWS _x000D_
6631 ft</t>
  </si>
  <si>
    <t>BTKM8 _x000D_
BURNT CREEK</t>
  </si>
  <si>
    <t>RAWS _x000D_
6954 ft</t>
  </si>
  <si>
    <t>ENNM8 _x000D_
ENNIS</t>
  </si>
  <si>
    <t>RAWS _x000D_
5056 ft</t>
  </si>
  <si>
    <t>GAAM8 _x000D_
GALENA</t>
  </si>
  <si>
    <t>RAWS _x000D_
6545 ft</t>
  </si>
  <si>
    <t>HRKM8 _x000D_
HARKNESS</t>
  </si>
  <si>
    <t>RAWS _x000D_
8400 ft</t>
  </si>
  <si>
    <t>RRDM8 _x000D_
RED ROCK</t>
  </si>
  <si>
    <t>RAWS _x000D_
6677 ft</t>
  </si>
  <si>
    <t>WHHM8 _x000D_
WHITEHALL</t>
  </si>
  <si>
    <t>RAWS _x000D_
4390 ft</t>
  </si>
  <si>
    <t>PICKLIST TABLES
Used to ensure correct data entry format within spreadsheet cells. Calculation formulas are sensitive to data format.</t>
  </si>
  <si>
    <t>Strategy</t>
  </si>
  <si>
    <t>Description</t>
  </si>
  <si>
    <t>Yes/No</t>
  </si>
  <si>
    <t>Monitor</t>
  </si>
  <si>
    <t>No suppression action taken. Aerial and/or firefighter reconaissance may occur.</t>
  </si>
  <si>
    <t>Ignition caused by lightning.</t>
  </si>
  <si>
    <t>FS - Missoula RD</t>
  </si>
  <si>
    <t>FS - Lolo NF</t>
  </si>
  <si>
    <t>Confine</t>
  </si>
  <si>
    <t>Use of tactical actions to manage a fire within a predetermined area or perimeter, usually defined by geographic features.</t>
  </si>
  <si>
    <t>Human caused ignition. Usually includes "unknown causes" for statistical purposes unless fire is in area where lightning is suspected but unable to locate the strike. Get this info from IC.</t>
  </si>
  <si>
    <t>FS - Ninemile RD</t>
  </si>
  <si>
    <t>MT - DNRC - Southwest Land Office</t>
  </si>
  <si>
    <t>Point Zone</t>
  </si>
  <si>
    <t>Specific assets or highly valued resources are actively protected without halting the continued spread of the wildfire.</t>
  </si>
  <si>
    <t>FS - Plains/Thompson Falls RD</t>
  </si>
  <si>
    <t>BLM - Missoula Field District</t>
  </si>
  <si>
    <t>Full</t>
  </si>
  <si>
    <t>Fire fully suppressed with suppression actions.</t>
  </si>
  <si>
    <t>FS - Seeley Lake RD</t>
  </si>
  <si>
    <t>BIA - Flathead Agency (CSKT)</t>
  </si>
  <si>
    <t>Multiple</t>
  </si>
  <si>
    <t>A combination fo strategies are utilized.</t>
  </si>
  <si>
    <t>FS - Superior RD</t>
  </si>
  <si>
    <t>MT - Missoula County
(D3, D4, MSO, CLW)</t>
  </si>
  <si>
    <t>Hand ignition</t>
  </si>
  <si>
    <t>SWLO - Missoula Unit</t>
  </si>
  <si>
    <t>MT - Lewis &amp; Clark County  
(D6)</t>
  </si>
  <si>
    <t>PSD, Helitorch, uas</t>
  </si>
  <si>
    <t>SWLO - Clearwater Unit</t>
  </si>
  <si>
    <t>MT - Flathead County
(D5/8)</t>
  </si>
  <si>
    <t>Fire Status</t>
  </si>
  <si>
    <t>LCN</t>
  </si>
  <si>
    <t>SWLO - Lincoln</t>
  </si>
  <si>
    <t>MT - Ravalli County
(D3, MSO)</t>
  </si>
  <si>
    <t>IA</t>
  </si>
  <si>
    <t>IA wthin the 1st operational period</t>
  </si>
  <si>
    <t>MT - Lake County
(MSO)</t>
  </si>
  <si>
    <t>Uncontained IA beyond the 1st operational period.</t>
  </si>
  <si>
    <t>PLN</t>
  </si>
  <si>
    <t>NWLO - Plains Unit</t>
  </si>
  <si>
    <t>MT- Powell County
(CLW, D6)</t>
  </si>
  <si>
    <t>RX Complexity</t>
  </si>
  <si>
    <t>MT - Sanders County
(D5/8, D7)</t>
  </si>
  <si>
    <t>Counties</t>
  </si>
  <si>
    <t>MT - Granite County
(D3, D6, MSO, CLW)</t>
  </si>
  <si>
    <t xml:space="preserve">managed fire </t>
  </si>
  <si>
    <t>MT - Mineral County
(D4, D5/8, D7)</t>
  </si>
  <si>
    <t>FS - Beaverhead-Deerlodge NF</t>
  </si>
  <si>
    <t>FS - Bitterroot NF</t>
  </si>
  <si>
    <t>Day of the Week</t>
  </si>
  <si>
    <t>FS - Flathead NF</t>
  </si>
  <si>
    <t>Sunday</t>
  </si>
  <si>
    <t>FS - Helena-Lewis &amp; Clark NF</t>
  </si>
  <si>
    <t>Monday</t>
  </si>
  <si>
    <t>FS - Idaho Panhandle NF</t>
  </si>
  <si>
    <t>Tuesday</t>
  </si>
  <si>
    <t>FS - Kootenai NF</t>
  </si>
  <si>
    <t>Wednesday</t>
  </si>
  <si>
    <t>FS - Nez Perce-Clearwater NF</t>
  </si>
  <si>
    <t>Thursday</t>
  </si>
  <si>
    <t>DNRC - Central Land Office</t>
  </si>
  <si>
    <t>Friday</t>
  </si>
  <si>
    <t>DNRC - Northwest Land Office</t>
  </si>
  <si>
    <t>Initial 
Firing 
Day</t>
  </si>
  <si>
    <t>Granite Graves 161 162</t>
  </si>
  <si>
    <t>+5 acres 11/9 RCS</t>
  </si>
  <si>
    <t>11/9 YTD stats updated</t>
  </si>
  <si>
    <t>Missoula Interagency Dispatch Zone Wide Fire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</si>
</sst>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m/d"/>
    <numFmt numFmtId="165" formatCode="0.0"/>
    <numFmt numFmtId="166" formatCode="[$-409]dddd"/>
    <numFmt numFmtId="167" formatCode="[$-409]mmmm\ d\,\ yyyy;@"/>
    <numFmt numFmtId="168" formatCode="m/d;@"/>
  </numFmts>
  <fonts count="68" x14ac:knownFonts="1">
    <font>
      <sz val="10"/>
      <color rgb="FF000000"/>
      <name val="Arial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rgb="FF000000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u/>
      <sz val="9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i/>
      <sz val="10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sz val="12"/>
      <color rgb="FF000000"/>
      <name val="Calibri"/>
      <family val="2"/>
    </font>
    <font>
      <sz val="8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20"/>
      <color rgb="FF000000"/>
      <name val="Calibri"/>
      <family val="2"/>
    </font>
    <font>
      <b/>
      <sz val="36"/>
      <color rgb="FF000000"/>
      <name val="Calibri"/>
      <family val="2"/>
    </font>
    <font>
      <i/>
      <sz val="16"/>
      <color rgb="FF000000"/>
      <name val="Calibri"/>
      <family val="2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FFFF"/>
      <name val="Calibri"/>
      <family val="2"/>
    </font>
    <font>
      <sz val="14"/>
      <color rgb="FFFFFFFF"/>
      <name val="Calibri"/>
      <family val="2"/>
    </font>
    <font>
      <sz val="14"/>
      <name val="Calibri"/>
      <family val="2"/>
    </font>
    <font>
      <b/>
      <sz val="14"/>
      <color rgb="FF333333"/>
      <name val="Calibri"/>
      <family val="2"/>
    </font>
    <font>
      <i/>
      <u/>
      <sz val="14"/>
      <color theme="10"/>
      <name val="Arial"/>
      <family val="2"/>
    </font>
    <font>
      <b/>
      <sz val="16"/>
      <name val="Calibri"/>
      <family val="2"/>
    </font>
    <font>
      <sz val="20"/>
      <color rgb="FF000000"/>
      <name val="Calibri"/>
      <family val="2"/>
    </font>
    <font>
      <b/>
      <sz val="16"/>
      <color rgb="FFFF000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4"/>
      <color rgb="FF333333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1"/>
      <color theme="0"/>
      <name val="Calibri"/>
      <family val="2"/>
    </font>
    <font>
      <sz val="11"/>
      <color rgb="FFFF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sz val="10"/>
      <color rgb="FF000000"/>
      <name val="Arial"/>
      <charset val="1"/>
    </font>
    <font>
      <b/>
      <sz val="10"/>
      <color rgb="FF000000"/>
      <name val="Arial"/>
    </font>
  </fonts>
  <fills count="3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AD47"/>
        <bgColor rgb="FF70AD47"/>
      </patternFill>
    </fill>
    <fill>
      <patternFill patternType="solid">
        <fgColor rgb="FFE2EFDA"/>
        <bgColor rgb="FFE2EFDA"/>
      </patternFill>
    </fill>
    <fill>
      <patternFill patternType="solid">
        <fgColor rgb="FF000000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D3BDFF"/>
        <bgColor indexed="64"/>
      </patternFill>
    </fill>
    <fill>
      <patternFill patternType="solid">
        <fgColor rgb="FFF6F3FF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2" tint="-9.9978637043366805E-2"/>
        <bgColor indexed="64"/>
      </patternFill>
    </fill>
  </fills>
  <borders count="19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double">
        <color theme="0"/>
      </bottom>
      <diagonal/>
    </border>
    <border>
      <left/>
      <right/>
      <top style="medium">
        <color theme="0"/>
      </top>
      <bottom style="double">
        <color theme="0"/>
      </bottom>
      <diagonal/>
    </border>
    <border>
      <left/>
      <right style="medium">
        <color theme="0"/>
      </right>
      <top style="medium">
        <color theme="0"/>
      </top>
      <bottom style="double">
        <color theme="0"/>
      </bottom>
      <diagonal/>
    </border>
    <border>
      <left style="thin">
        <color rgb="FFA9D08E"/>
      </left>
      <right/>
      <top style="thin">
        <color rgb="FFA9D08E"/>
      </top>
      <bottom style="thin">
        <color rgb="FFA9D08E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/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medium">
        <color rgb="FFFF0000"/>
      </bottom>
      <diagonal/>
    </border>
    <border>
      <left style="medium">
        <color rgb="FFFF0000"/>
      </left>
      <right style="medium">
        <color rgb="FF000000"/>
      </right>
      <top style="medium">
        <color rgb="FFFF0000"/>
      </top>
      <bottom style="medium">
        <color rgb="FFFF0000"/>
      </bottom>
      <diagonal/>
    </border>
    <border>
      <left style="medium">
        <color rgb="FF000000"/>
      </left>
      <right style="medium">
        <color rgb="FF000000"/>
      </right>
      <top style="medium">
        <color rgb="FFFF0000"/>
      </top>
      <bottom style="medium">
        <color rgb="FFFF0000"/>
      </bottom>
      <diagonal/>
    </border>
    <border>
      <left style="medium">
        <color rgb="FF00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 style="medium">
        <color rgb="FFFF0000"/>
      </bottom>
      <diagonal/>
    </border>
    <border>
      <left style="medium">
        <color rgb="FF000000"/>
      </left>
      <right style="thin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double">
        <color theme="0"/>
      </bottom>
      <diagonal/>
    </border>
    <border>
      <left/>
      <right style="medium">
        <color indexed="64"/>
      </right>
      <top style="medium">
        <color theme="0"/>
      </top>
      <bottom style="double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 style="double">
        <color theme="0"/>
      </top>
      <bottom style="medium">
        <color indexed="64"/>
      </bottom>
      <diagonal/>
    </border>
    <border>
      <left/>
      <right/>
      <top style="double">
        <color theme="0"/>
      </top>
      <bottom style="medium">
        <color indexed="64"/>
      </bottom>
      <diagonal/>
    </border>
    <border>
      <left/>
      <right style="medium">
        <color theme="0"/>
      </right>
      <top style="double">
        <color theme="0"/>
      </top>
      <bottom style="medium">
        <color indexed="64"/>
      </bottom>
      <diagonal/>
    </border>
    <border>
      <left/>
      <right style="medium">
        <color indexed="64"/>
      </right>
      <top style="double">
        <color theme="0"/>
      </top>
      <bottom style="medium">
        <color indexed="64"/>
      </bottom>
      <diagonal/>
    </border>
    <border>
      <left style="medium">
        <color indexed="64"/>
      </left>
      <right/>
      <top style="double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/>
    <xf numFmtId="43" fontId="59" fillId="0" borderId="0" applyFont="0" applyFill="0" applyBorder="0" applyAlignment="0" applyProtection="0"/>
  </cellStyleXfs>
  <cellXfs count="961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0" fillId="0" borderId="10" xfId="0" applyBorder="1"/>
    <xf numFmtId="0" fontId="3" fillId="0" borderId="10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1" fontId="3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5" fontId="3" fillId="0" borderId="10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164" fontId="4" fillId="0" borderId="29" xfId="0" applyNumberFormat="1" applyFont="1" applyBorder="1" applyAlignment="1" applyProtection="1">
      <alignment horizontal="center" vertical="center" wrapText="1"/>
      <protection locked="0"/>
    </xf>
    <xf numFmtId="16" fontId="4" fillId="0" borderId="29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164" fontId="4" fillId="0" borderId="16" xfId="0" applyNumberFormat="1" applyFont="1" applyBorder="1" applyAlignment="1" applyProtection="1">
      <alignment horizontal="center" vertical="center" wrapText="1"/>
      <protection locked="0"/>
    </xf>
    <xf numFmtId="2" fontId="4" fillId="0" borderId="16" xfId="0" applyNumberFormat="1" applyFont="1" applyBorder="1" applyAlignment="1" applyProtection="1">
      <alignment horizontal="center" vertical="center" wrapText="1"/>
      <protection locked="0"/>
    </xf>
    <xf numFmtId="2" fontId="4" fillId="0" borderId="16" xfId="0" applyNumberFormat="1" applyFont="1" applyBorder="1" applyAlignment="1">
      <alignment horizontal="center" vertical="center" wrapText="1"/>
    </xf>
    <xf numFmtId="16" fontId="4" fillId="0" borderId="16" xfId="0" applyNumberFormat="1" applyFont="1" applyBorder="1" applyAlignment="1" applyProtection="1">
      <alignment horizontal="center" vertical="center" wrapText="1"/>
      <protection locked="0"/>
    </xf>
    <xf numFmtId="14" fontId="4" fillId="0" borderId="16" xfId="0" applyNumberFormat="1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2" fillId="0" borderId="10" xfId="0" applyFont="1" applyBorder="1"/>
    <xf numFmtId="0" fontId="4" fillId="0" borderId="11" xfId="0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Border="1" applyAlignment="1" applyProtection="1">
      <alignment horizontal="center" vertical="center" wrapText="1"/>
      <protection locked="0"/>
    </xf>
    <xf numFmtId="2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164" fontId="4" fillId="0" borderId="14" xfId="0" applyNumberFormat="1" applyFont="1" applyBorder="1" applyAlignment="1" applyProtection="1">
      <alignment horizontal="center" vertical="center" wrapText="1"/>
      <protection locked="0"/>
    </xf>
    <xf numFmtId="2" fontId="4" fillId="0" borderId="14" xfId="0" applyNumberFormat="1" applyFont="1" applyBorder="1" applyAlignment="1" applyProtection="1">
      <alignment horizontal="center" vertical="center" wrapText="1"/>
      <protection locked="0"/>
    </xf>
    <xf numFmtId="16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16" fontId="4" fillId="0" borderId="14" xfId="0" applyNumberFormat="1" applyFont="1" applyBorder="1" applyAlignment="1" applyProtection="1">
      <alignment horizontal="center" vertical="center" wrapText="1"/>
      <protection locked="0"/>
    </xf>
    <xf numFmtId="14" fontId="4" fillId="0" borderId="15" xfId="0" applyNumberFormat="1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164" fontId="15" fillId="0" borderId="14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21" fillId="5" borderId="1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165" fontId="4" fillId="0" borderId="29" xfId="0" applyNumberFormat="1" applyFont="1" applyBorder="1" applyAlignment="1" applyProtection="1">
      <alignment horizontal="center" vertical="center" wrapText="1"/>
      <protection locked="0"/>
    </xf>
    <xf numFmtId="165" fontId="4" fillId="0" borderId="16" xfId="0" applyNumberFormat="1" applyFont="1" applyBorder="1" applyAlignment="1" applyProtection="1">
      <alignment horizontal="center" vertical="center" wrapText="1"/>
      <protection locked="0"/>
    </xf>
    <xf numFmtId="164" fontId="4" fillId="0" borderId="73" xfId="0" applyNumberFormat="1" applyFont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 applyProtection="1">
      <alignment horizontal="center" vertical="center" wrapText="1"/>
      <protection locked="0"/>
    </xf>
    <xf numFmtId="165" fontId="4" fillId="0" borderId="73" xfId="0" applyNumberFormat="1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2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0" xfId="0" applyAlignment="1">
      <alignment horizontal="center" vertical="center"/>
    </xf>
    <xf numFmtId="1" fontId="3" fillId="0" borderId="75" xfId="0" applyNumberFormat="1" applyFont="1" applyBorder="1" applyAlignment="1">
      <alignment horizontal="center" vertical="center"/>
    </xf>
    <xf numFmtId="1" fontId="3" fillId="0" borderId="79" xfId="0" applyNumberFormat="1" applyFont="1" applyBorder="1" applyAlignment="1">
      <alignment horizontal="center" vertical="center"/>
    </xf>
    <xf numFmtId="1" fontId="3" fillId="0" borderId="4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3" fillId="0" borderId="86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0" fillId="22" borderId="59" xfId="0" applyNumberFormat="1" applyFill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0" fontId="15" fillId="12" borderId="104" xfId="0" applyFont="1" applyFill="1" applyBorder="1" applyAlignment="1">
      <alignment horizontal="center" vertical="center"/>
    </xf>
    <xf numFmtId="0" fontId="15" fillId="12" borderId="105" xfId="0" applyFont="1" applyFill="1" applyBorder="1" applyAlignment="1">
      <alignment horizontal="center" vertical="center"/>
    </xf>
    <xf numFmtId="0" fontId="15" fillId="15" borderId="104" xfId="0" applyFont="1" applyFill="1" applyBorder="1" applyAlignment="1">
      <alignment horizontal="center" vertical="center"/>
    </xf>
    <xf numFmtId="0" fontId="15" fillId="15" borderId="105" xfId="0" applyFont="1" applyFill="1" applyBorder="1" applyAlignment="1">
      <alignment horizontal="center" vertical="center"/>
    </xf>
    <xf numFmtId="0" fontId="15" fillId="20" borderId="104" xfId="0" applyFont="1" applyFill="1" applyBorder="1" applyAlignment="1">
      <alignment horizontal="center" vertical="center"/>
    </xf>
    <xf numFmtId="0" fontId="15" fillId="20" borderId="105" xfId="0" applyFont="1" applyFill="1" applyBorder="1" applyAlignment="1">
      <alignment horizontal="center" vertical="center"/>
    </xf>
    <xf numFmtId="1" fontId="0" fillId="12" borderId="76" xfId="0" applyNumberFormat="1" applyFill="1" applyBorder="1" applyAlignment="1">
      <alignment horizontal="center" vertical="center"/>
    </xf>
    <xf numFmtId="1" fontId="0" fillId="15" borderId="76" xfId="0" applyNumberFormat="1" applyFill="1" applyBorder="1" applyAlignment="1">
      <alignment horizontal="center" vertical="center"/>
    </xf>
    <xf numFmtId="1" fontId="0" fillId="20" borderId="76" xfId="0" applyNumberFormat="1" applyFill="1" applyBorder="1" applyAlignment="1">
      <alignment horizontal="center" vertical="center"/>
    </xf>
    <xf numFmtId="0" fontId="15" fillId="14" borderId="104" xfId="0" applyFont="1" applyFill="1" applyBorder="1" applyAlignment="1">
      <alignment horizontal="center" vertical="center"/>
    </xf>
    <xf numFmtId="0" fontId="15" fillId="14" borderId="105" xfId="0" applyFont="1" applyFill="1" applyBorder="1" applyAlignment="1">
      <alignment horizontal="center" vertical="center"/>
    </xf>
    <xf numFmtId="0" fontId="15" fillId="16" borderId="104" xfId="0" applyFont="1" applyFill="1" applyBorder="1" applyAlignment="1">
      <alignment horizontal="center" vertical="center"/>
    </xf>
    <xf numFmtId="0" fontId="15" fillId="16" borderId="105" xfId="0" applyFont="1" applyFill="1" applyBorder="1" applyAlignment="1">
      <alignment horizontal="center" vertical="center"/>
    </xf>
    <xf numFmtId="0" fontId="15" fillId="19" borderId="104" xfId="0" applyFont="1" applyFill="1" applyBorder="1" applyAlignment="1">
      <alignment horizontal="center" vertical="center"/>
    </xf>
    <xf numFmtId="0" fontId="15" fillId="19" borderId="105" xfId="0" applyFont="1" applyFill="1" applyBorder="1" applyAlignment="1">
      <alignment horizontal="center" vertical="center"/>
    </xf>
    <xf numFmtId="1" fontId="0" fillId="14" borderId="76" xfId="0" applyNumberFormat="1" applyFill="1" applyBorder="1" applyAlignment="1">
      <alignment horizontal="center" vertical="center"/>
    </xf>
    <xf numFmtId="1" fontId="0" fillId="16" borderId="76" xfId="0" applyNumberFormat="1" applyFill="1" applyBorder="1" applyAlignment="1">
      <alignment horizontal="center" vertical="center"/>
    </xf>
    <xf numFmtId="1" fontId="0" fillId="19" borderId="76" xfId="0" applyNumberFormat="1" applyFill="1" applyBorder="1" applyAlignment="1">
      <alignment horizontal="center" vertical="center"/>
    </xf>
    <xf numFmtId="0" fontId="15" fillId="13" borderId="104" xfId="0" applyFont="1" applyFill="1" applyBorder="1" applyAlignment="1">
      <alignment horizontal="center" vertical="center"/>
    </xf>
    <xf numFmtId="0" fontId="15" fillId="13" borderId="105" xfId="0" applyFont="1" applyFill="1" applyBorder="1" applyAlignment="1">
      <alignment horizontal="center" vertical="center"/>
    </xf>
    <xf numFmtId="0" fontId="15" fillId="17" borderId="104" xfId="0" applyFont="1" applyFill="1" applyBorder="1" applyAlignment="1">
      <alignment horizontal="center" vertical="center"/>
    </xf>
    <xf numFmtId="0" fontId="15" fillId="17" borderId="105" xfId="0" applyFont="1" applyFill="1" applyBorder="1" applyAlignment="1">
      <alignment horizontal="center" vertical="center"/>
    </xf>
    <xf numFmtId="0" fontId="15" fillId="21" borderId="104" xfId="0" applyFont="1" applyFill="1" applyBorder="1" applyAlignment="1">
      <alignment horizontal="center" vertical="center"/>
    </xf>
    <xf numFmtId="0" fontId="15" fillId="21" borderId="105" xfId="0" applyFont="1" applyFill="1" applyBorder="1" applyAlignment="1">
      <alignment horizontal="center" vertical="center"/>
    </xf>
    <xf numFmtId="1" fontId="0" fillId="13" borderId="76" xfId="0" applyNumberFormat="1" applyFill="1" applyBorder="1" applyAlignment="1">
      <alignment horizontal="center" vertical="center"/>
    </xf>
    <xf numFmtId="1" fontId="0" fillId="17" borderId="76" xfId="0" applyNumberFormat="1" applyFill="1" applyBorder="1" applyAlignment="1">
      <alignment horizontal="center" vertical="center"/>
    </xf>
    <xf numFmtId="1" fontId="0" fillId="21" borderId="76" xfId="0" applyNumberFormat="1" applyFill="1" applyBorder="1" applyAlignment="1">
      <alignment horizontal="center" vertical="center"/>
    </xf>
    <xf numFmtId="0" fontId="15" fillId="18" borderId="104" xfId="0" applyFont="1" applyFill="1" applyBorder="1" applyAlignment="1">
      <alignment horizontal="center" vertical="center"/>
    </xf>
    <xf numFmtId="0" fontId="15" fillId="18" borderId="105" xfId="0" applyFont="1" applyFill="1" applyBorder="1" applyAlignment="1">
      <alignment horizontal="center" vertical="center"/>
    </xf>
    <xf numFmtId="1" fontId="0" fillId="18" borderId="76" xfId="0" applyNumberFormat="1" applyFill="1" applyBorder="1" applyAlignment="1">
      <alignment horizontal="center" vertical="center"/>
    </xf>
    <xf numFmtId="0" fontId="0" fillId="18" borderId="78" xfId="0" applyFill="1" applyBorder="1" applyAlignment="1">
      <alignment horizontal="center" vertical="center"/>
    </xf>
    <xf numFmtId="2" fontId="0" fillId="18" borderId="78" xfId="0" applyNumberForma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left" vertical="center"/>
    </xf>
    <xf numFmtId="2" fontId="2" fillId="0" borderId="60" xfId="0" applyNumberFormat="1" applyFont="1" applyBorder="1" applyAlignment="1">
      <alignment horizontal="center" vertical="center"/>
    </xf>
    <xf numFmtId="0" fontId="4" fillId="2" borderId="94" xfId="0" applyFont="1" applyFill="1" applyBorder="1" applyAlignment="1">
      <alignment horizontal="right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2" fontId="12" fillId="0" borderId="58" xfId="0" applyNumberFormat="1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4" fillId="2" borderId="82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2" fontId="12" fillId="0" borderId="59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2" fontId="12" fillId="0" borderId="60" xfId="0" applyNumberFormat="1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15" fillId="0" borderId="76" xfId="0" applyFont="1" applyBorder="1" applyAlignment="1">
      <alignment horizontal="center" vertical="center"/>
    </xf>
    <xf numFmtId="2" fontId="15" fillId="0" borderId="78" xfId="0" applyNumberFormat="1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2" fontId="12" fillId="0" borderId="70" xfId="0" applyNumberFormat="1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4" fillId="0" borderId="28" xfId="0" applyFont="1" applyBorder="1" applyAlignment="1">
      <alignment horizontal="right" vertical="center"/>
    </xf>
    <xf numFmtId="0" fontId="15" fillId="9" borderId="98" xfId="0" applyFont="1" applyFill="1" applyBorder="1" applyAlignment="1">
      <alignment horizontal="center" vertical="center"/>
    </xf>
    <xf numFmtId="0" fontId="15" fillId="9" borderId="97" xfId="0" applyFont="1" applyFill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71" xfId="0" applyFont="1" applyFill="1" applyBorder="1" applyAlignment="1">
      <alignment vertical="center"/>
    </xf>
    <xf numFmtId="1" fontId="2" fillId="9" borderId="81" xfId="0" applyNumberFormat="1" applyFont="1" applyFill="1" applyBorder="1" applyAlignment="1">
      <alignment horizontal="center" vertical="center"/>
    </xf>
    <xf numFmtId="0" fontId="4" fillId="3" borderId="100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vertical="center"/>
    </xf>
    <xf numFmtId="1" fontId="2" fillId="9" borderId="79" xfId="0" applyNumberFormat="1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right" vertical="center"/>
    </xf>
    <xf numFmtId="0" fontId="4" fillId="7" borderId="43" xfId="0" applyFont="1" applyFill="1" applyBorder="1" applyAlignment="1">
      <alignment horizontal="right" vertical="center"/>
    </xf>
    <xf numFmtId="0" fontId="15" fillId="7" borderId="76" xfId="0" applyFont="1" applyFill="1" applyBorder="1" applyAlignment="1">
      <alignment horizontal="center" vertical="center"/>
    </xf>
    <xf numFmtId="2" fontId="4" fillId="7" borderId="78" xfId="0" applyNumberFormat="1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left" vertical="center"/>
    </xf>
    <xf numFmtId="0" fontId="4" fillId="4" borderId="72" xfId="0" applyFont="1" applyFill="1" applyBorder="1" applyAlignment="1">
      <alignment horizontal="left" vertical="center"/>
    </xf>
    <xf numFmtId="0" fontId="15" fillId="7" borderId="52" xfId="0" applyFont="1" applyFill="1" applyBorder="1" applyAlignment="1">
      <alignment horizontal="right" vertical="center"/>
    </xf>
    <xf numFmtId="0" fontId="15" fillId="7" borderId="26" xfId="0" applyFont="1" applyFill="1" applyBorder="1" applyAlignment="1">
      <alignment horizontal="center" vertical="center"/>
    </xf>
    <xf numFmtId="0" fontId="4" fillId="2" borderId="48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52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4" fillId="7" borderId="85" xfId="0" applyFont="1" applyFill="1" applyBorder="1" applyAlignment="1">
      <alignment vertical="center"/>
    </xf>
    <xf numFmtId="0" fontId="2" fillId="4" borderId="81" xfId="0" applyFont="1" applyFill="1" applyBorder="1" applyAlignment="1">
      <alignment horizontal="center" vertical="center" wrapText="1"/>
    </xf>
    <xf numFmtId="2" fontId="2" fillId="4" borderId="57" xfId="0" applyNumberFormat="1" applyFont="1" applyFill="1" applyBorder="1" applyAlignment="1">
      <alignment horizontal="center" vertical="center" wrapText="1"/>
    </xf>
    <xf numFmtId="2" fontId="2" fillId="4" borderId="58" xfId="0" applyNumberFormat="1" applyFont="1" applyFill="1" applyBorder="1" applyAlignment="1">
      <alignment horizontal="center" vertical="center" wrapText="1"/>
    </xf>
    <xf numFmtId="0" fontId="4" fillId="7" borderId="91" xfId="0" applyFont="1" applyFill="1" applyBorder="1" applyAlignment="1">
      <alignment vertical="center"/>
    </xf>
    <xf numFmtId="0" fontId="12" fillId="4" borderId="79" xfId="0" applyFont="1" applyFill="1" applyBorder="1" applyAlignment="1">
      <alignment horizontal="center" vertical="center"/>
    </xf>
    <xf numFmtId="2" fontId="12" fillId="4" borderId="80" xfId="0" applyNumberFormat="1" applyFont="1" applyFill="1" applyBorder="1" applyAlignment="1">
      <alignment horizontal="center" vertical="center"/>
    </xf>
    <xf numFmtId="2" fontId="12" fillId="4" borderId="60" xfId="0" applyNumberFormat="1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vertical="center"/>
    </xf>
    <xf numFmtId="1" fontId="4" fillId="7" borderId="76" xfId="0" applyNumberFormat="1" applyFont="1" applyFill="1" applyBorder="1" applyAlignment="1">
      <alignment horizontal="center" vertical="center"/>
    </xf>
    <xf numFmtId="2" fontId="4" fillId="7" borderId="77" xfId="0" applyNumberFormat="1" applyFont="1" applyFill="1" applyBorder="1" applyAlignment="1">
      <alignment horizontal="center" vertical="center"/>
    </xf>
    <xf numFmtId="2" fontId="2" fillId="0" borderId="70" xfId="0" applyNumberFormat="1" applyFont="1" applyBorder="1" applyAlignment="1">
      <alignment horizontal="center" vertical="center"/>
    </xf>
    <xf numFmtId="0" fontId="4" fillId="7" borderId="103" xfId="0" applyFont="1" applyFill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/>
    </xf>
    <xf numFmtId="0" fontId="4" fillId="11" borderId="71" xfId="0" applyFont="1" applyFill="1" applyBorder="1" applyAlignment="1">
      <alignment horizontal="left" vertical="center"/>
    </xf>
    <xf numFmtId="2" fontId="12" fillId="0" borderId="71" xfId="0" applyNumberFormat="1" applyFont="1" applyBorder="1" applyAlignment="1">
      <alignment horizontal="center" vertical="center"/>
    </xf>
    <xf numFmtId="2" fontId="0" fillId="0" borderId="71" xfId="0" applyNumberFormat="1" applyBorder="1" applyAlignment="1">
      <alignment horizontal="center" vertical="center"/>
    </xf>
    <xf numFmtId="0" fontId="4" fillId="11" borderId="54" xfId="0" applyFont="1" applyFill="1" applyBorder="1" applyAlignment="1">
      <alignment horizontal="left" vertical="center"/>
    </xf>
    <xf numFmtId="2" fontId="12" fillId="0" borderId="54" xfId="0" applyNumberFormat="1" applyFont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0" fontId="4" fillId="11" borderId="72" xfId="0" applyFont="1" applyFill="1" applyBorder="1" applyAlignment="1">
      <alignment horizontal="left" vertical="center"/>
    </xf>
    <xf numFmtId="2" fontId="12" fillId="0" borderId="72" xfId="0" applyNumberFormat="1" applyFont="1" applyBorder="1" applyAlignment="1">
      <alignment horizontal="center" vertical="center"/>
    </xf>
    <xf numFmtId="2" fontId="0" fillId="0" borderId="72" xfId="0" applyNumberFormat="1" applyBorder="1" applyAlignment="1">
      <alignment horizontal="center" vertical="center"/>
    </xf>
    <xf numFmtId="2" fontId="4" fillId="7" borderId="52" xfId="0" applyNumberFormat="1" applyFont="1" applyFill="1" applyBorder="1" applyAlignment="1">
      <alignment horizontal="center" vertical="center"/>
    </xf>
    <xf numFmtId="165" fontId="4" fillId="0" borderId="29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165" fontId="4" fillId="0" borderId="73" xfId="0" applyNumberFormat="1" applyFont="1" applyBorder="1" applyAlignment="1">
      <alignment horizontal="center" vertical="center" wrapText="1"/>
    </xf>
    <xf numFmtId="0" fontId="25" fillId="23" borderId="110" xfId="0" applyFont="1" applyFill="1" applyBorder="1"/>
    <xf numFmtId="0" fontId="25" fillId="23" borderId="111" xfId="0" applyFont="1" applyFill="1" applyBorder="1"/>
    <xf numFmtId="0" fontId="25" fillId="23" borderId="112" xfId="0" applyFont="1" applyFill="1" applyBorder="1"/>
    <xf numFmtId="0" fontId="35" fillId="0" borderId="10" xfId="0" applyFont="1" applyBorder="1" applyAlignment="1">
      <alignment horizontal="center" vertical="center" wrapText="1"/>
    </xf>
    <xf numFmtId="0" fontId="4" fillId="2" borderId="115" xfId="0" applyFont="1" applyFill="1" applyBorder="1" applyAlignment="1">
      <alignment horizontal="center" vertical="center" wrapText="1"/>
    </xf>
    <xf numFmtId="0" fontId="4" fillId="0" borderId="116" xfId="0" applyFont="1" applyBorder="1" applyAlignment="1">
      <alignment horizontal="center" vertical="center" wrapText="1"/>
    </xf>
    <xf numFmtId="0" fontId="4" fillId="0" borderId="117" xfId="0" applyFont="1" applyBorder="1" applyAlignment="1" applyProtection="1">
      <alignment horizontal="center" vertical="center" wrapText="1"/>
      <protection locked="0"/>
    </xf>
    <xf numFmtId="0" fontId="4" fillId="0" borderId="118" xfId="0" applyFont="1" applyBorder="1" applyAlignment="1">
      <alignment horizontal="center" vertical="center" wrapText="1"/>
    </xf>
    <xf numFmtId="0" fontId="4" fillId="0" borderId="119" xfId="0" applyFont="1" applyBorder="1" applyAlignment="1" applyProtection="1">
      <alignment horizontal="center" vertical="center" wrapText="1"/>
      <protection locked="0"/>
    </xf>
    <xf numFmtId="49" fontId="4" fillId="0" borderId="120" xfId="0" applyNumberFormat="1" applyFont="1" applyBorder="1" applyAlignment="1" applyProtection="1">
      <alignment horizontal="center" vertical="center" wrapText="1"/>
      <protection locked="0"/>
    </xf>
    <xf numFmtId="0" fontId="4" fillId="0" borderId="120" xfId="0" applyFont="1" applyBorder="1" applyAlignment="1" applyProtection="1">
      <alignment horizontal="center" vertical="center" wrapText="1"/>
      <protection locked="0"/>
    </xf>
    <xf numFmtId="164" fontId="4" fillId="0" borderId="120" xfId="0" applyNumberFormat="1" applyFont="1" applyBorder="1" applyAlignment="1" applyProtection="1">
      <alignment horizontal="center" vertical="center" wrapText="1"/>
      <protection locked="0"/>
    </xf>
    <xf numFmtId="2" fontId="4" fillId="0" borderId="120" xfId="0" applyNumberFormat="1" applyFont="1" applyBorder="1" applyAlignment="1" applyProtection="1">
      <alignment horizontal="center" vertical="center" wrapText="1"/>
      <protection locked="0"/>
    </xf>
    <xf numFmtId="0" fontId="4" fillId="0" borderId="120" xfId="0" applyFont="1" applyBorder="1" applyAlignment="1">
      <alignment horizontal="center" vertical="center" wrapText="1"/>
    </xf>
    <xf numFmtId="0" fontId="4" fillId="0" borderId="121" xfId="0" applyFont="1" applyBorder="1" applyAlignment="1" applyProtection="1">
      <alignment horizontal="center" vertical="center" wrapText="1"/>
      <protection locked="0"/>
    </xf>
    <xf numFmtId="0" fontId="4" fillId="2" borderId="122" xfId="0" applyFont="1" applyFill="1" applyBorder="1" applyAlignment="1">
      <alignment horizontal="center" vertical="center" wrapText="1"/>
    </xf>
    <xf numFmtId="0" fontId="4" fillId="2" borderId="123" xfId="0" applyFont="1" applyFill="1" applyBorder="1" applyAlignment="1">
      <alignment horizontal="center" vertical="center" wrapText="1"/>
    </xf>
    <xf numFmtId="0" fontId="4" fillId="2" borderId="123" xfId="0" applyFont="1" applyFill="1" applyBorder="1" applyAlignment="1">
      <alignment horizontal="center" vertical="center" textRotation="90" wrapText="1"/>
    </xf>
    <xf numFmtId="0" fontId="4" fillId="2" borderId="124" xfId="0" applyFont="1" applyFill="1" applyBorder="1" applyAlignment="1">
      <alignment horizontal="center" vertical="center" wrapText="1"/>
    </xf>
    <xf numFmtId="0" fontId="4" fillId="2" borderId="125" xfId="0" applyFont="1" applyFill="1" applyBorder="1" applyAlignment="1">
      <alignment horizontal="center" vertical="center" wrapText="1"/>
    </xf>
    <xf numFmtId="0" fontId="4" fillId="2" borderId="126" xfId="0" applyFont="1" applyFill="1" applyBorder="1" applyAlignment="1">
      <alignment horizontal="center" vertical="center" wrapText="1"/>
    </xf>
    <xf numFmtId="0" fontId="4" fillId="2" borderId="127" xfId="0" applyFont="1" applyFill="1" applyBorder="1" applyAlignment="1">
      <alignment horizontal="center" vertical="center" wrapText="1"/>
    </xf>
    <xf numFmtId="0" fontId="4" fillId="2" borderId="128" xfId="0" applyFont="1" applyFill="1" applyBorder="1" applyAlignment="1">
      <alignment horizontal="center" vertical="center" wrapText="1"/>
    </xf>
    <xf numFmtId="0" fontId="4" fillId="0" borderId="95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129" xfId="0" applyFont="1" applyBorder="1" applyAlignment="1">
      <alignment horizontal="center" vertical="center" wrapText="1"/>
    </xf>
    <xf numFmtId="0" fontId="4" fillId="0" borderId="130" xfId="0" applyFont="1" applyBorder="1" applyAlignment="1" applyProtection="1">
      <alignment horizontal="center" vertical="center" wrapText="1"/>
      <protection locked="0"/>
    </xf>
    <xf numFmtId="164" fontId="4" fillId="0" borderId="130" xfId="0" applyNumberFormat="1" applyFont="1" applyBorder="1" applyAlignment="1" applyProtection="1">
      <alignment horizontal="center" vertical="center" wrapText="1"/>
      <protection locked="0"/>
    </xf>
    <xf numFmtId="2" fontId="4" fillId="0" borderId="130" xfId="0" applyNumberFormat="1" applyFont="1" applyBorder="1" applyAlignment="1" applyProtection="1">
      <alignment horizontal="center" vertical="center" wrapText="1"/>
      <protection locked="0"/>
    </xf>
    <xf numFmtId="2" fontId="4" fillId="0" borderId="130" xfId="0" applyNumberFormat="1" applyFont="1" applyBorder="1" applyAlignment="1">
      <alignment horizontal="center" vertical="center" wrapText="1"/>
    </xf>
    <xf numFmtId="0" fontId="4" fillId="0" borderId="130" xfId="0" applyFont="1" applyBorder="1" applyAlignment="1">
      <alignment horizontal="center" vertical="center" wrapText="1"/>
    </xf>
    <xf numFmtId="0" fontId="4" fillId="0" borderId="131" xfId="0" applyFont="1" applyBorder="1" applyAlignment="1" applyProtection="1">
      <alignment horizontal="center" vertical="center" wrapText="1"/>
      <protection locked="0"/>
    </xf>
    <xf numFmtId="0" fontId="4" fillId="0" borderId="132" xfId="0" applyFont="1" applyBorder="1" applyAlignment="1">
      <alignment horizontal="center" vertical="center" wrapText="1"/>
    </xf>
    <xf numFmtId="0" fontId="4" fillId="0" borderId="133" xfId="0" applyFont="1" applyBorder="1" applyAlignment="1" applyProtection="1">
      <alignment horizontal="center" vertical="center" wrapText="1"/>
      <protection locked="0"/>
    </xf>
    <xf numFmtId="0" fontId="4" fillId="0" borderId="134" xfId="0" applyFont="1" applyBorder="1" applyAlignment="1">
      <alignment horizontal="center" vertical="center" wrapText="1"/>
    </xf>
    <xf numFmtId="0" fontId="19" fillId="0" borderId="133" xfId="0" applyFont="1" applyBorder="1" applyAlignment="1" applyProtection="1">
      <alignment horizontal="center" vertical="center" wrapText="1"/>
      <protection locked="0"/>
    </xf>
    <xf numFmtId="0" fontId="4" fillId="0" borderId="133" xfId="0" applyFont="1" applyBorder="1" applyAlignment="1">
      <alignment horizontal="center" vertical="center"/>
    </xf>
    <xf numFmtId="0" fontId="4" fillId="0" borderId="135" xfId="0" applyFont="1" applyBorder="1" applyAlignment="1">
      <alignment horizontal="center" vertical="center" wrapText="1"/>
    </xf>
    <xf numFmtId="0" fontId="4" fillId="0" borderId="136" xfId="0" applyFont="1" applyBorder="1" applyAlignment="1" applyProtection="1">
      <alignment horizontal="center" vertical="center" wrapText="1"/>
      <protection locked="0"/>
    </xf>
    <xf numFmtId="164" fontId="4" fillId="0" borderId="136" xfId="0" applyNumberFormat="1" applyFont="1" applyBorder="1" applyAlignment="1" applyProtection="1">
      <alignment horizontal="center" vertical="center" wrapText="1"/>
      <protection locked="0"/>
    </xf>
    <xf numFmtId="2" fontId="4" fillId="0" borderId="136" xfId="0" applyNumberFormat="1" applyFont="1" applyBorder="1" applyAlignment="1" applyProtection="1">
      <alignment horizontal="center" vertical="center" wrapText="1"/>
      <protection locked="0"/>
    </xf>
    <xf numFmtId="0" fontId="4" fillId="0" borderId="137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>
      <alignment horizontal="center" vertical="center"/>
    </xf>
    <xf numFmtId="168" fontId="4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4" fillId="2" borderId="85" xfId="0" applyFont="1" applyFill="1" applyBorder="1" applyAlignment="1">
      <alignment horizontal="left" vertical="center"/>
    </xf>
    <xf numFmtId="1" fontId="2" fillId="0" borderId="79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2" fillId="0" borderId="81" xfId="0" applyNumberFormat="1" applyFont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22" borderId="59" xfId="0" applyFont="1" applyFill="1" applyBorder="1" applyAlignment="1">
      <alignment horizontal="center" vertical="center"/>
    </xf>
    <xf numFmtId="1" fontId="0" fillId="22" borderId="16" xfId="0" applyNumberFormat="1" applyFill="1" applyBorder="1" applyAlignment="1">
      <alignment horizontal="center" vertical="center"/>
    </xf>
    <xf numFmtId="2" fontId="0" fillId="22" borderId="16" xfId="0" applyNumberFormat="1" applyFill="1" applyBorder="1" applyAlignment="1">
      <alignment horizontal="center" vertical="center"/>
    </xf>
    <xf numFmtId="0" fontId="0" fillId="22" borderId="16" xfId="0" applyFill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1" fontId="0" fillId="22" borderId="10" xfId="0" applyNumberFormat="1" applyFill="1" applyBorder="1" applyAlignment="1">
      <alignment horizontal="center" vertical="center"/>
    </xf>
    <xf numFmtId="2" fontId="0" fillId="22" borderId="10" xfId="0" applyNumberFormat="1" applyFill="1" applyBorder="1" applyAlignment="1">
      <alignment horizontal="center" vertical="center"/>
    </xf>
    <xf numFmtId="0" fontId="12" fillId="22" borderId="10" xfId="0" applyFont="1" applyFill="1" applyBorder="1" applyAlignment="1">
      <alignment horizontal="center" vertical="center"/>
    </xf>
    <xf numFmtId="0" fontId="12" fillId="22" borderId="39" xfId="0" applyFont="1" applyFill="1" applyBorder="1" applyAlignment="1">
      <alignment horizontal="center" vertical="center"/>
    </xf>
    <xf numFmtId="1" fontId="0" fillId="22" borderId="26" xfId="0" applyNumberFormat="1" applyFill="1" applyBorder="1" applyAlignment="1">
      <alignment horizontal="center" vertical="center"/>
    </xf>
    <xf numFmtId="2" fontId="0" fillId="22" borderId="26" xfId="0" applyNumberFormat="1" applyFill="1" applyBorder="1" applyAlignment="1">
      <alignment horizontal="center" vertical="center"/>
    </xf>
    <xf numFmtId="2" fontId="0" fillId="22" borderId="44" xfId="0" applyNumberFormat="1" applyFill="1" applyBorder="1" applyAlignment="1">
      <alignment horizontal="center" vertical="center"/>
    </xf>
    <xf numFmtId="1" fontId="0" fillId="10" borderId="16" xfId="0" applyNumberFormat="1" applyFill="1" applyBorder="1" applyAlignment="1">
      <alignment horizontal="center" vertical="center"/>
    </xf>
    <xf numFmtId="0" fontId="15" fillId="10" borderId="89" xfId="0" applyFont="1" applyFill="1" applyBorder="1" applyAlignment="1">
      <alignment horizontal="center" vertical="center"/>
    </xf>
    <xf numFmtId="0" fontId="15" fillId="10" borderId="90" xfId="0" applyFont="1" applyFill="1" applyBorder="1" applyAlignment="1">
      <alignment horizontal="center" vertical="center"/>
    </xf>
    <xf numFmtId="0" fontId="31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15" fillId="22" borderId="16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2" fillId="22" borderId="16" xfId="0" applyFont="1" applyFill="1" applyBorder="1" applyAlignment="1">
      <alignment horizontal="center" vertical="center"/>
    </xf>
    <xf numFmtId="2" fontId="12" fillId="22" borderId="59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1" fontId="0" fillId="22" borderId="57" xfId="0" applyNumberFormat="1" applyFill="1" applyBorder="1" applyAlignment="1">
      <alignment horizontal="center" vertical="center"/>
    </xf>
    <xf numFmtId="2" fontId="0" fillId="22" borderId="57" xfId="0" applyNumberFormat="1" applyFill="1" applyBorder="1" applyAlignment="1">
      <alignment horizontal="center" vertical="center"/>
    </xf>
    <xf numFmtId="0" fontId="15" fillId="22" borderId="82" xfId="0" applyFont="1" applyFill="1" applyBorder="1" applyAlignment="1">
      <alignment horizontal="center" vertical="center"/>
    </xf>
    <xf numFmtId="0" fontId="15" fillId="22" borderId="90" xfId="0" applyFont="1" applyFill="1" applyBorder="1" applyAlignment="1">
      <alignment horizontal="center" vertical="center"/>
    </xf>
    <xf numFmtId="2" fontId="0" fillId="10" borderId="16" xfId="0" applyNumberFormat="1" applyFill="1" applyBorder="1" applyAlignment="1">
      <alignment horizontal="center" vertical="center"/>
    </xf>
    <xf numFmtId="0" fontId="12" fillId="10" borderId="16" xfId="0" applyFont="1" applyFill="1" applyBorder="1" applyAlignment="1">
      <alignment horizontal="center" vertical="center"/>
    </xf>
    <xf numFmtId="2" fontId="12" fillId="10" borderId="59" xfId="0" applyNumberFormat="1" applyFont="1" applyFill="1" applyBorder="1" applyAlignment="1">
      <alignment horizontal="center" vertical="center"/>
    </xf>
    <xf numFmtId="0" fontId="24" fillId="10" borderId="29" xfId="0" applyFont="1" applyFill="1" applyBorder="1" applyAlignment="1">
      <alignment vertical="center"/>
    </xf>
    <xf numFmtId="0" fontId="24" fillId="10" borderId="70" xfId="0" applyFont="1" applyFill="1" applyBorder="1" applyAlignment="1">
      <alignment vertical="center"/>
    </xf>
    <xf numFmtId="0" fontId="15" fillId="10" borderId="56" xfId="0" applyFont="1" applyFill="1" applyBorder="1" applyAlignment="1">
      <alignment vertical="center"/>
    </xf>
    <xf numFmtId="0" fontId="12" fillId="22" borderId="57" xfId="0" applyFont="1" applyFill="1" applyBorder="1" applyAlignment="1">
      <alignment horizontal="center" vertical="center"/>
    </xf>
    <xf numFmtId="2" fontId="12" fillId="22" borderId="58" xfId="0" applyNumberFormat="1" applyFont="1" applyFill="1" applyBorder="1" applyAlignment="1">
      <alignment horizontal="center" vertical="center"/>
    </xf>
    <xf numFmtId="0" fontId="24" fillId="10" borderId="95" xfId="0" applyFont="1" applyFill="1" applyBorder="1" applyAlignment="1">
      <alignment vertical="center"/>
    </xf>
    <xf numFmtId="0" fontId="15" fillId="10" borderId="56" xfId="0" applyFont="1" applyFill="1" applyBorder="1" applyAlignment="1">
      <alignment horizontal="center" vertical="center"/>
    </xf>
    <xf numFmtId="1" fontId="0" fillId="22" borderId="41" xfId="0" applyNumberForma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2" fontId="2" fillId="0" borderId="10" xfId="0" applyNumberFormat="1" applyFont="1" applyBorder="1" applyAlignment="1">
      <alignment horizontal="center" vertical="center"/>
    </xf>
    <xf numFmtId="1" fontId="12" fillId="0" borderId="154" xfId="0" applyNumberFormat="1" applyFont="1" applyBorder="1" applyAlignment="1">
      <alignment horizontal="center" vertical="center"/>
    </xf>
    <xf numFmtId="1" fontId="2" fillId="0" borderId="162" xfId="0" applyNumberFormat="1" applyFont="1" applyBorder="1" applyAlignment="1">
      <alignment horizontal="center" vertical="center"/>
    </xf>
    <xf numFmtId="1" fontId="15" fillId="0" borderId="26" xfId="0" applyNumberFormat="1" applyFont="1" applyBorder="1" applyAlignment="1">
      <alignment horizontal="center" vertical="center"/>
    </xf>
    <xf numFmtId="1" fontId="12" fillId="9" borderId="154" xfId="0" applyNumberFormat="1" applyFont="1" applyFill="1" applyBorder="1" applyAlignment="1">
      <alignment horizontal="center" vertical="center"/>
    </xf>
    <xf numFmtId="1" fontId="12" fillId="9" borderId="162" xfId="0" applyNumberFormat="1" applyFont="1" applyFill="1" applyBorder="1" applyAlignment="1">
      <alignment horizontal="center" vertical="center"/>
    </xf>
    <xf numFmtId="0" fontId="12" fillId="10" borderId="102" xfId="0" applyFont="1" applyFill="1" applyBorder="1" applyAlignment="1">
      <alignment vertical="center"/>
    </xf>
    <xf numFmtId="0" fontId="12" fillId="10" borderId="86" xfId="0" applyFont="1" applyFill="1" applyBorder="1" applyAlignment="1">
      <alignment vertical="center"/>
    </xf>
    <xf numFmtId="0" fontId="12" fillId="10" borderId="163" xfId="0" applyFont="1" applyFill="1" applyBorder="1" applyAlignment="1">
      <alignment vertical="center"/>
    </xf>
    <xf numFmtId="2" fontId="2" fillId="4" borderId="154" xfId="0" applyNumberFormat="1" applyFont="1" applyFill="1" applyBorder="1" applyAlignment="1">
      <alignment horizontal="center" vertical="center" wrapText="1"/>
    </xf>
    <xf numFmtId="2" fontId="12" fillId="4" borderId="162" xfId="0" applyNumberFormat="1" applyFont="1" applyFill="1" applyBorder="1" applyAlignment="1">
      <alignment horizontal="center" vertical="center"/>
    </xf>
    <xf numFmtId="2" fontId="4" fillId="7" borderId="26" xfId="0" applyNumberFormat="1" applyFont="1" applyFill="1" applyBorder="1" applyAlignment="1">
      <alignment horizontal="center" vertical="center"/>
    </xf>
    <xf numFmtId="2" fontId="2" fillId="4" borderId="164" xfId="0" applyNumberFormat="1" applyFont="1" applyFill="1" applyBorder="1" applyAlignment="1">
      <alignment horizontal="center" vertical="center" wrapText="1"/>
    </xf>
    <xf numFmtId="2" fontId="12" fillId="4" borderId="165" xfId="0" applyNumberFormat="1" applyFont="1" applyFill="1" applyBorder="1" applyAlignment="1">
      <alignment horizontal="center" vertical="center"/>
    </xf>
    <xf numFmtId="2" fontId="4" fillId="7" borderId="156" xfId="0" applyNumberFormat="1" applyFont="1" applyFill="1" applyBorder="1" applyAlignment="1">
      <alignment horizontal="center" vertical="center"/>
    </xf>
    <xf numFmtId="2" fontId="4" fillId="0" borderId="29" xfId="0" applyNumberFormat="1" applyFont="1" applyBorder="1" applyAlignment="1" applyProtection="1">
      <alignment horizontal="center" vertical="center" wrapText="1"/>
      <protection locked="0"/>
    </xf>
    <xf numFmtId="2" fontId="4" fillId="0" borderId="73" xfId="0" applyNumberFormat="1" applyFont="1" applyBorder="1" applyAlignment="1" applyProtection="1">
      <alignment horizontal="center" vertical="center" wrapText="1"/>
      <protection locked="0"/>
    </xf>
    <xf numFmtId="1" fontId="2" fillId="4" borderId="68" xfId="0" applyNumberFormat="1" applyFont="1" applyFill="1" applyBorder="1" applyAlignment="1">
      <alignment horizontal="center" vertical="center" wrapText="1"/>
    </xf>
    <xf numFmtId="1" fontId="12" fillId="4" borderId="69" xfId="0" applyNumberFormat="1" applyFont="1" applyFill="1" applyBorder="1" applyAlignment="1">
      <alignment horizontal="center" vertical="center"/>
    </xf>
    <xf numFmtId="1" fontId="4" fillId="7" borderId="96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2" fontId="4" fillId="0" borderId="139" xfId="0" applyNumberFormat="1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4" fillId="28" borderId="170" xfId="0" applyFont="1" applyFill="1" applyBorder="1" applyAlignment="1" applyProtection="1">
      <alignment horizontal="center" vertical="center" wrapText="1"/>
      <protection locked="0"/>
    </xf>
    <xf numFmtId="2" fontId="4" fillId="28" borderId="170" xfId="0" applyNumberFormat="1" applyFont="1" applyFill="1" applyBorder="1" applyAlignment="1" applyProtection="1">
      <alignment horizontal="center" vertical="center" wrapText="1"/>
      <protection locked="0"/>
    </xf>
    <xf numFmtId="2" fontId="21" fillId="28" borderId="170" xfId="0" applyNumberFormat="1" applyFont="1" applyFill="1" applyBorder="1" applyAlignment="1" applyProtection="1">
      <alignment horizontal="center" vertical="center" wrapText="1"/>
      <protection locked="0"/>
    </xf>
    <xf numFmtId="0" fontId="4" fillId="28" borderId="170" xfId="0" applyFont="1" applyFill="1" applyBorder="1" applyAlignment="1">
      <alignment horizontal="center" vertical="center" wrapText="1"/>
    </xf>
    <xf numFmtId="0" fontId="4" fillId="28" borderId="27" xfId="0" applyFont="1" applyFill="1" applyBorder="1" applyAlignment="1">
      <alignment horizontal="center" vertical="center" wrapText="1"/>
    </xf>
    <xf numFmtId="0" fontId="4" fillId="28" borderId="27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>
      <alignment horizontal="center" vertical="center" wrapText="1"/>
    </xf>
    <xf numFmtId="0" fontId="21" fillId="5" borderId="103" xfId="0" applyFont="1" applyFill="1" applyBorder="1" applyAlignment="1">
      <alignment horizontal="center" vertical="center" wrapText="1"/>
    </xf>
    <xf numFmtId="0" fontId="14" fillId="6" borderId="171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15" fillId="22" borderId="43" xfId="0" applyFont="1" applyFill="1" applyBorder="1" applyAlignment="1">
      <alignment horizontal="center" vertical="center"/>
    </xf>
    <xf numFmtId="0" fontId="15" fillId="22" borderId="26" xfId="0" applyFont="1" applyFill="1" applyBorder="1" applyAlignment="1">
      <alignment horizontal="center" vertical="center"/>
    </xf>
    <xf numFmtId="0" fontId="0" fillId="22" borderId="10" xfId="0" applyFill="1" applyBorder="1" applyAlignment="1">
      <alignment horizontal="center" vertical="center"/>
    </xf>
    <xf numFmtId="0" fontId="0" fillId="22" borderId="26" xfId="0" applyFill="1" applyBorder="1" applyAlignment="1">
      <alignment horizontal="center" vertical="center"/>
    </xf>
    <xf numFmtId="167" fontId="33" fillId="0" borderId="10" xfId="0" applyNumberFormat="1" applyFont="1" applyBorder="1" applyAlignment="1">
      <alignment horizontal="center" vertical="top" wrapText="1"/>
    </xf>
    <xf numFmtId="0" fontId="41" fillId="0" borderId="0" xfId="0" applyFont="1" applyAlignment="1">
      <alignment vertical="center"/>
    </xf>
    <xf numFmtId="0" fontId="32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4" fillId="2" borderId="175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2" borderId="175" xfId="0" applyFont="1" applyFill="1" applyBorder="1" applyAlignment="1">
      <alignment horizontal="center" vertical="center" textRotation="90" wrapText="1"/>
    </xf>
    <xf numFmtId="0" fontId="26" fillId="0" borderId="10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167" fontId="29" fillId="0" borderId="10" xfId="0" applyNumberFormat="1" applyFont="1" applyBorder="1" applyAlignment="1">
      <alignment vertical="top" wrapText="1"/>
    </xf>
    <xf numFmtId="0" fontId="33" fillId="0" borderId="1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/>
    </xf>
    <xf numFmtId="164" fontId="45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2" fontId="45" fillId="0" borderId="0" xfId="0" applyNumberFormat="1" applyFont="1" applyAlignment="1">
      <alignment horizontal="center" vertical="center" wrapText="1"/>
    </xf>
    <xf numFmtId="2" fontId="45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176" xfId="0" applyFont="1" applyBorder="1" applyAlignment="1">
      <alignment horizontal="center" vertical="center" wrapText="1"/>
    </xf>
    <xf numFmtId="0" fontId="48" fillId="26" borderId="167" xfId="0" applyFont="1" applyFill="1" applyBorder="1" applyAlignment="1">
      <alignment horizontal="center" vertical="center" wrapText="1"/>
    </xf>
    <xf numFmtId="0" fontId="48" fillId="26" borderId="167" xfId="0" applyFont="1" applyFill="1" applyBorder="1" applyAlignment="1">
      <alignment horizontal="center" vertical="center"/>
    </xf>
    <xf numFmtId="0" fontId="48" fillId="26" borderId="168" xfId="0" applyFont="1" applyFill="1" applyBorder="1" applyAlignment="1">
      <alignment horizontal="center" vertical="center" wrapText="1"/>
    </xf>
    <xf numFmtId="0" fontId="48" fillId="26" borderId="173" xfId="0" applyFont="1" applyFill="1" applyBorder="1" applyAlignment="1">
      <alignment horizontal="center" vertical="distributed" wrapText="1"/>
    </xf>
    <xf numFmtId="0" fontId="48" fillId="26" borderId="172" xfId="0" applyFont="1" applyFill="1" applyBorder="1" applyAlignment="1">
      <alignment horizontal="center" vertical="center" wrapText="1"/>
    </xf>
    <xf numFmtId="0" fontId="48" fillId="26" borderId="172" xfId="0" applyFont="1" applyFill="1" applyBorder="1" applyAlignment="1">
      <alignment horizontal="center" vertical="center"/>
    </xf>
    <xf numFmtId="0" fontId="48" fillId="26" borderId="174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/>
    </xf>
    <xf numFmtId="14" fontId="32" fillId="0" borderId="10" xfId="0" applyNumberFormat="1" applyFont="1" applyBorder="1" applyAlignment="1">
      <alignment vertical="center" wrapText="1"/>
    </xf>
    <xf numFmtId="14" fontId="47" fillId="25" borderId="23" xfId="0" applyNumberFormat="1" applyFont="1" applyFill="1" applyBorder="1" applyAlignment="1">
      <alignment horizontal="centerContinuous" vertical="center"/>
    </xf>
    <xf numFmtId="14" fontId="47" fillId="25" borderId="24" xfId="0" applyNumberFormat="1" applyFont="1" applyFill="1" applyBorder="1" applyAlignment="1">
      <alignment horizontal="centerContinuous" vertical="center"/>
    </xf>
    <xf numFmtId="14" fontId="47" fillId="25" borderId="25" xfId="0" applyNumberFormat="1" applyFont="1" applyFill="1" applyBorder="1" applyAlignment="1">
      <alignment horizontal="centerContinuous" vertical="center"/>
    </xf>
    <xf numFmtId="0" fontId="48" fillId="26" borderId="169" xfId="0" applyFont="1" applyFill="1" applyBorder="1" applyAlignment="1">
      <alignment horizontal="centerContinuous" vertical="distributed" wrapText="1"/>
    </xf>
    <xf numFmtId="0" fontId="48" fillId="26" borderId="173" xfId="0" applyFont="1" applyFill="1" applyBorder="1" applyAlignment="1">
      <alignment horizontal="centerContinuous" vertical="distributed" wrapText="1"/>
    </xf>
    <xf numFmtId="0" fontId="51" fillId="0" borderId="10" xfId="1" applyFont="1" applyBorder="1" applyAlignment="1">
      <alignment horizontal="centerContinuous" vertical="center" wrapText="1"/>
    </xf>
    <xf numFmtId="0" fontId="51" fillId="0" borderId="10" xfId="1" applyFont="1" applyBorder="1" applyAlignment="1">
      <alignment horizontal="centerContinuous" vertical="center"/>
    </xf>
    <xf numFmtId="0" fontId="49" fillId="0" borderId="100" xfId="0" applyFont="1" applyBorder="1" applyAlignment="1">
      <alignment horizontal="center" vertical="center" wrapText="1"/>
    </xf>
    <xf numFmtId="0" fontId="32" fillId="0" borderId="147" xfId="0" applyFont="1" applyBorder="1" applyAlignment="1">
      <alignment horizontal="center" vertical="center" wrapText="1"/>
    </xf>
    <xf numFmtId="0" fontId="32" fillId="0" borderId="146" xfId="0" applyFont="1" applyBorder="1" applyAlignment="1">
      <alignment horizontal="center" vertical="center" wrapText="1"/>
    </xf>
    <xf numFmtId="0" fontId="49" fillId="0" borderId="114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43" xfId="0" applyFont="1" applyBorder="1" applyAlignment="1">
      <alignment horizontal="center" vertical="center" wrapText="1"/>
    </xf>
    <xf numFmtId="0" fontId="49" fillId="0" borderId="144" xfId="0" applyFont="1" applyBorder="1" applyAlignment="1">
      <alignment horizontal="center" vertical="center" wrapText="1"/>
    </xf>
    <xf numFmtId="0" fontId="32" fillId="0" borderId="148" xfId="0" applyFont="1" applyBorder="1" applyAlignment="1">
      <alignment horizontal="center" vertical="center" wrapText="1"/>
    </xf>
    <xf numFmtId="0" fontId="32" fillId="0" borderId="149" xfId="0" applyFont="1" applyBorder="1" applyAlignment="1">
      <alignment horizontal="center" vertical="center" wrapText="1"/>
    </xf>
    <xf numFmtId="0" fontId="53" fillId="0" borderId="154" xfId="0" applyFont="1" applyBorder="1" applyAlignment="1">
      <alignment horizontal="center" vertical="center" wrapText="1"/>
    </xf>
    <xf numFmtId="0" fontId="53" fillId="0" borderId="178" xfId="0" applyFont="1" applyBorder="1" applyAlignment="1">
      <alignment horizontal="center" vertical="center" wrapText="1"/>
    </xf>
    <xf numFmtId="0" fontId="15" fillId="10" borderId="150" xfId="0" applyFont="1" applyFill="1" applyBorder="1" applyAlignment="1">
      <alignment vertical="center"/>
    </xf>
    <xf numFmtId="0" fontId="0" fillId="10" borderId="10" xfId="0" applyFill="1" applyBorder="1" applyAlignment="1">
      <alignment vertical="center"/>
    </xf>
    <xf numFmtId="0" fontId="0" fillId="10" borderId="41" xfId="0" applyFill="1" applyBorder="1" applyAlignment="1">
      <alignment vertical="center"/>
    </xf>
    <xf numFmtId="0" fontId="0" fillId="10" borderId="150" xfId="0" applyFill="1" applyBorder="1" applyAlignment="1">
      <alignment vertical="center"/>
    </xf>
    <xf numFmtId="0" fontId="4" fillId="9" borderId="82" xfId="0" applyFont="1" applyFill="1" applyBorder="1" applyAlignment="1">
      <alignment horizontal="center" vertical="center"/>
    </xf>
    <xf numFmtId="0" fontId="4" fillId="9" borderId="90" xfId="0" applyFont="1" applyFill="1" applyBorder="1" applyAlignment="1">
      <alignment horizontal="center" vertical="center"/>
    </xf>
    <xf numFmtId="0" fontId="4" fillId="2" borderId="177" xfId="0" applyFont="1" applyFill="1" applyBorder="1" applyAlignment="1">
      <alignment horizontal="center" vertical="center"/>
    </xf>
    <xf numFmtId="2" fontId="2" fillId="0" borderId="186" xfId="0" applyNumberFormat="1" applyFont="1" applyBorder="1" applyAlignment="1">
      <alignment horizontal="center" vertical="center"/>
    </xf>
    <xf numFmtId="2" fontId="2" fillId="0" borderId="16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0" fillId="10" borderId="22" xfId="0" applyFill="1" applyBorder="1" applyAlignment="1">
      <alignment vertical="center"/>
    </xf>
    <xf numFmtId="0" fontId="0" fillId="10" borderId="39" xfId="0" applyFill="1" applyBorder="1" applyAlignment="1">
      <alignment vertical="center"/>
    </xf>
    <xf numFmtId="0" fontId="0" fillId="10" borderId="40" xfId="0" applyFill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0" fillId="10" borderId="43" xfId="0" applyFill="1" applyBorder="1" applyAlignment="1">
      <alignment vertical="center"/>
    </xf>
    <xf numFmtId="0" fontId="0" fillId="10" borderId="26" xfId="0" applyFill="1" applyBorder="1" applyAlignment="1">
      <alignment vertical="center"/>
    </xf>
    <xf numFmtId="0" fontId="0" fillId="10" borderId="44" xfId="0" applyFill="1" applyBorder="1" applyAlignment="1">
      <alignment vertical="center"/>
    </xf>
    <xf numFmtId="0" fontId="15" fillId="5" borderId="164" xfId="0" applyFont="1" applyFill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4" fillId="9" borderId="92" xfId="0" applyFont="1" applyFill="1" applyBorder="1" applyAlignment="1">
      <alignment horizontal="center" vertical="center"/>
    </xf>
    <xf numFmtId="1" fontId="0" fillId="22" borderId="81" xfId="0" applyNumberFormat="1" applyFill="1" applyBorder="1" applyAlignment="1">
      <alignment horizontal="center" vertical="center"/>
    </xf>
    <xf numFmtId="2" fontId="0" fillId="22" borderId="58" xfId="0" applyNumberFormat="1" applyFill="1" applyBorder="1" applyAlignment="1">
      <alignment horizontal="center" vertical="center"/>
    </xf>
    <xf numFmtId="1" fontId="0" fillId="0" borderId="75" xfId="0" applyNumberFormat="1" applyBorder="1" applyAlignment="1">
      <alignment horizontal="center" vertical="center"/>
    </xf>
    <xf numFmtId="1" fontId="0" fillId="22" borderId="75" xfId="0" applyNumberFormat="1" applyFill="1" applyBorder="1" applyAlignment="1">
      <alignment horizontal="center" vertical="center"/>
    </xf>
    <xf numFmtId="1" fontId="0" fillId="10" borderId="29" xfId="0" applyNumberFormat="1" applyFill="1" applyBorder="1" applyAlignment="1">
      <alignment horizontal="center" vertical="center"/>
    </xf>
    <xf numFmtId="2" fontId="0" fillId="10" borderId="29" xfId="0" applyNumberFormat="1" applyFill="1" applyBorder="1" applyAlignment="1">
      <alignment horizontal="center" vertical="center"/>
    </xf>
    <xf numFmtId="0" fontId="15" fillId="5" borderId="71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22" borderId="54" xfId="0" applyFont="1" applyFill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1" fontId="0" fillId="0" borderId="79" xfId="0" applyNumberFormat="1" applyBorder="1" applyAlignment="1">
      <alignment horizontal="center" vertical="center"/>
    </xf>
    <xf numFmtId="2" fontId="0" fillId="0" borderId="60" xfId="0" applyNumberFormat="1" applyBorder="1" applyAlignment="1">
      <alignment horizontal="center" vertical="center"/>
    </xf>
    <xf numFmtId="0" fontId="0" fillId="10" borderId="187" xfId="0" applyFill="1" applyBorder="1" applyAlignment="1">
      <alignment vertical="center"/>
    </xf>
    <xf numFmtId="0" fontId="15" fillId="0" borderId="165" xfId="0" applyFont="1" applyBorder="1" applyAlignment="1">
      <alignment horizontal="center" vertical="center"/>
    </xf>
    <xf numFmtId="1" fontId="15" fillId="22" borderId="76" xfId="0" applyNumberFormat="1" applyFont="1" applyFill="1" applyBorder="1" applyAlignment="1">
      <alignment horizontal="center" vertical="center"/>
    </xf>
    <xf numFmtId="2" fontId="15" fillId="22" borderId="78" xfId="0" applyNumberFormat="1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vertical="center"/>
    </xf>
    <xf numFmtId="0" fontId="15" fillId="22" borderId="52" xfId="0" applyFont="1" applyFill="1" applyBorder="1" applyAlignment="1">
      <alignment horizontal="right" vertical="center"/>
    </xf>
    <xf numFmtId="0" fontId="15" fillId="10" borderId="29" xfId="0" applyFont="1" applyFill="1" applyBorder="1" applyAlignment="1">
      <alignment horizontal="center" vertical="center"/>
    </xf>
    <xf numFmtId="0" fontId="15" fillId="22" borderId="43" xfId="0" applyFont="1" applyFill="1" applyBorder="1" applyAlignment="1">
      <alignment horizontal="right" vertical="center"/>
    </xf>
    <xf numFmtId="0" fontId="15" fillId="5" borderId="85" xfId="0" applyFont="1" applyFill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22" borderId="86" xfId="0" applyFont="1" applyFill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10" borderId="26" xfId="0" applyFont="1" applyFill="1" applyBorder="1" applyAlignment="1">
      <alignment vertical="center"/>
    </xf>
    <xf numFmtId="1" fontId="12" fillId="22" borderId="57" xfId="0" applyNumberFormat="1" applyFont="1" applyFill="1" applyBorder="1" applyAlignment="1">
      <alignment horizontal="center" vertical="center"/>
    </xf>
    <xf numFmtId="1" fontId="12" fillId="0" borderId="16" xfId="0" applyNumberFormat="1" applyFont="1" applyBorder="1" applyAlignment="1">
      <alignment horizontal="center" vertical="center"/>
    </xf>
    <xf numFmtId="0" fontId="49" fillId="0" borderId="188" xfId="0" applyFont="1" applyBorder="1" applyAlignment="1">
      <alignment horizontal="center" vertical="center" wrapText="1"/>
    </xf>
    <xf numFmtId="0" fontId="49" fillId="0" borderId="188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48" fillId="26" borderId="169" xfId="0" applyFont="1" applyFill="1" applyBorder="1" applyAlignment="1">
      <alignment horizontal="center" wrapText="1"/>
    </xf>
    <xf numFmtId="0" fontId="48" fillId="26" borderId="167" xfId="0" applyFont="1" applyFill="1" applyBorder="1" applyAlignment="1">
      <alignment horizontal="center" wrapText="1"/>
    </xf>
    <xf numFmtId="0" fontId="48" fillId="26" borderId="167" xfId="0" applyFont="1" applyFill="1" applyBorder="1" applyAlignment="1">
      <alignment horizontal="center"/>
    </xf>
    <xf numFmtId="0" fontId="48" fillId="26" borderId="168" xfId="0" applyFont="1" applyFill="1" applyBorder="1" applyAlignment="1">
      <alignment horizontal="center" wrapText="1"/>
    </xf>
    <xf numFmtId="0" fontId="57" fillId="35" borderId="4" xfId="0" applyFont="1" applyFill="1" applyBorder="1" applyAlignment="1">
      <alignment horizontal="center" vertical="center" wrapText="1"/>
    </xf>
    <xf numFmtId="14" fontId="57" fillId="35" borderId="4" xfId="0" applyNumberFormat="1" applyFont="1" applyFill="1" applyBorder="1" applyAlignment="1">
      <alignment horizontal="center" vertical="center" wrapText="1"/>
    </xf>
    <xf numFmtId="0" fontId="57" fillId="33" borderId="4" xfId="0" applyFont="1" applyFill="1" applyBorder="1" applyAlignment="1">
      <alignment horizontal="center" vertical="center" wrapText="1"/>
    </xf>
    <xf numFmtId="0" fontId="46" fillId="36" borderId="4" xfId="0" applyFont="1" applyFill="1" applyBorder="1" applyAlignment="1">
      <alignment horizontal="center" vertical="center" wrapText="1"/>
    </xf>
    <xf numFmtId="22" fontId="58" fillId="0" borderId="0" xfId="0" applyNumberFormat="1" applyFont="1" applyAlignment="1">
      <alignment horizontal="right" vertical="center"/>
    </xf>
    <xf numFmtId="22" fontId="58" fillId="0" borderId="0" xfId="0" applyNumberFormat="1" applyFont="1" applyAlignment="1">
      <alignment horizontal="centerContinuous"/>
    </xf>
    <xf numFmtId="49" fontId="4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26" fillId="0" borderId="10" xfId="0" applyFont="1" applyBorder="1" applyAlignment="1">
      <alignment vertical="center"/>
    </xf>
    <xf numFmtId="0" fontId="34" fillId="27" borderId="43" xfId="0" applyFont="1" applyFill="1" applyBorder="1" applyAlignment="1">
      <alignment horizontal="center" vertical="center" wrapText="1"/>
    </xf>
    <xf numFmtId="0" fontId="34" fillId="27" borderId="189" xfId="0" applyFont="1" applyFill="1" applyBorder="1" applyAlignment="1">
      <alignment horizontal="center" vertical="center" wrapText="1"/>
    </xf>
    <xf numFmtId="0" fontId="34" fillId="27" borderId="142" xfId="0" applyFont="1" applyFill="1" applyBorder="1" applyAlignment="1">
      <alignment horizontal="center" vertical="center" wrapText="1"/>
    </xf>
    <xf numFmtId="0" fontId="61" fillId="0" borderId="10" xfId="0" applyFont="1" applyBorder="1" applyAlignment="1">
      <alignment vertical="center"/>
    </xf>
    <xf numFmtId="0" fontId="53" fillId="0" borderId="10" xfId="0" applyFont="1" applyBorder="1" applyAlignment="1">
      <alignment horizontal="center" vertical="center" wrapText="1"/>
    </xf>
    <xf numFmtId="43" fontId="12" fillId="0" borderId="58" xfId="2" applyFont="1" applyBorder="1" applyAlignment="1">
      <alignment horizontal="center" vertical="center"/>
    </xf>
    <xf numFmtId="43" fontId="2" fillId="0" borderId="57" xfId="2" applyFont="1" applyBorder="1" applyAlignment="1">
      <alignment horizontal="center" vertical="center"/>
    </xf>
    <xf numFmtId="43" fontId="2" fillId="0" borderId="58" xfId="2" applyFont="1" applyBorder="1" applyAlignment="1">
      <alignment horizontal="center" vertical="center"/>
    </xf>
    <xf numFmtId="43" fontId="2" fillId="0" borderId="80" xfId="2" applyFont="1" applyBorder="1" applyAlignment="1">
      <alignment horizontal="center" vertical="center"/>
    </xf>
    <xf numFmtId="43" fontId="2" fillId="0" borderId="60" xfId="2" applyFont="1" applyBorder="1" applyAlignment="1">
      <alignment horizontal="center" vertical="center"/>
    </xf>
    <xf numFmtId="43" fontId="15" fillId="0" borderId="77" xfId="2" applyFont="1" applyBorder="1" applyAlignment="1">
      <alignment horizontal="center" vertical="center"/>
    </xf>
    <xf numFmtId="43" fontId="4" fillId="0" borderId="77" xfId="2" applyFont="1" applyBorder="1" applyAlignment="1">
      <alignment horizontal="center" vertical="center"/>
    </xf>
    <xf numFmtId="43" fontId="4" fillId="0" borderId="78" xfId="2" applyFont="1" applyBorder="1" applyAlignment="1">
      <alignment horizontal="center" vertical="center"/>
    </xf>
    <xf numFmtId="43" fontId="12" fillId="0" borderId="58" xfId="2" applyFont="1" applyBorder="1" applyAlignment="1">
      <alignment vertical="center"/>
    </xf>
    <xf numFmtId="43" fontId="2" fillId="0" borderId="60" xfId="2" applyFont="1" applyBorder="1" applyAlignment="1">
      <alignment vertical="center"/>
    </xf>
    <xf numFmtId="43" fontId="15" fillId="0" borderId="139" xfId="2" applyFont="1" applyBorder="1" applyAlignment="1">
      <alignment vertical="center"/>
    </xf>
    <xf numFmtId="43" fontId="12" fillId="0" borderId="59" xfId="2" applyFont="1" applyBorder="1" applyAlignment="1">
      <alignment horizontal="center" vertical="center"/>
    </xf>
    <xf numFmtId="43" fontId="12" fillId="0" borderId="60" xfId="2" applyFont="1" applyBorder="1" applyAlignment="1">
      <alignment horizontal="center" vertical="center"/>
    </xf>
    <xf numFmtId="43" fontId="15" fillId="0" borderId="78" xfId="2" applyFont="1" applyBorder="1" applyAlignment="1">
      <alignment horizontal="center" vertical="center"/>
    </xf>
    <xf numFmtId="43" fontId="12" fillId="0" borderId="164" xfId="2" applyFont="1" applyBorder="1" applyAlignment="1">
      <alignment horizontal="center" vertical="center"/>
    </xf>
    <xf numFmtId="43" fontId="12" fillId="0" borderId="106" xfId="2" applyFont="1" applyBorder="1" applyAlignment="1">
      <alignment horizontal="center" vertical="center"/>
    </xf>
    <xf numFmtId="43" fontId="12" fillId="0" borderId="165" xfId="2" applyFont="1" applyBorder="1" applyAlignment="1">
      <alignment horizontal="center" vertical="center"/>
    </xf>
    <xf numFmtId="43" fontId="4" fillId="0" borderId="52" xfId="2" applyFont="1" applyBorder="1" applyAlignment="1">
      <alignment horizontal="center" vertical="center"/>
    </xf>
    <xf numFmtId="43" fontId="12" fillId="0" borderId="70" xfId="2" applyFont="1" applyBorder="1" applyAlignment="1">
      <alignment horizontal="center" vertical="center"/>
    </xf>
    <xf numFmtId="43" fontId="15" fillId="9" borderId="99" xfId="2" applyFont="1" applyFill="1" applyBorder="1" applyAlignment="1">
      <alignment horizontal="center" vertical="center"/>
    </xf>
    <xf numFmtId="43" fontId="15" fillId="9" borderId="3" xfId="2" applyFont="1" applyFill="1" applyBorder="1" applyAlignment="1">
      <alignment horizontal="center" vertical="center"/>
    </xf>
    <xf numFmtId="43" fontId="12" fillId="9" borderId="58" xfId="2" applyFont="1" applyFill="1" applyBorder="1" applyAlignment="1">
      <alignment horizontal="center" vertical="center"/>
    </xf>
    <xf numFmtId="43" fontId="12" fillId="9" borderId="60" xfId="2" applyFont="1" applyFill="1" applyBorder="1" applyAlignment="1">
      <alignment horizontal="center" vertical="center"/>
    </xf>
    <xf numFmtId="43" fontId="12" fillId="9" borderId="57" xfId="2" applyFont="1" applyFill="1" applyBorder="1" applyAlignment="1">
      <alignment horizontal="center" vertical="center"/>
    </xf>
    <xf numFmtId="43" fontId="12" fillId="9" borderId="80" xfId="2" applyFont="1" applyFill="1" applyBorder="1" applyAlignment="1">
      <alignment horizontal="center" vertical="center"/>
    </xf>
    <xf numFmtId="43" fontId="4" fillId="7" borderId="78" xfId="2" applyFont="1" applyFill="1" applyBorder="1" applyAlignment="1">
      <alignment horizontal="center" vertical="center"/>
    </xf>
    <xf numFmtId="43" fontId="15" fillId="7" borderId="44" xfId="2" applyFont="1" applyFill="1" applyBorder="1" applyAlignment="1">
      <alignment horizontal="center" vertical="center"/>
    </xf>
    <xf numFmtId="4" fontId="4" fillId="0" borderId="11" xfId="0" applyNumberFormat="1" applyFont="1" applyBorder="1" applyAlignment="1" applyProtection="1">
      <alignment horizontal="center" vertical="center" wrapText="1"/>
      <protection locked="0"/>
    </xf>
    <xf numFmtId="4" fontId="4" fillId="0" borderId="14" xfId="0" applyNumberFormat="1" applyFont="1" applyBorder="1" applyAlignment="1" applyProtection="1">
      <alignment horizontal="center" vertical="center" wrapText="1"/>
      <protection locked="0"/>
    </xf>
    <xf numFmtId="4" fontId="4" fillId="0" borderId="120" xfId="0" applyNumberFormat="1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52" fillId="0" borderId="10" xfId="0" applyFont="1" applyBorder="1" applyAlignment="1">
      <alignment horizontal="center" vertical="center"/>
    </xf>
    <xf numFmtId="4" fontId="45" fillId="0" borderId="0" xfId="2" applyNumberFormat="1" applyFont="1" applyAlignment="1">
      <alignment horizontal="center" vertical="center" wrapText="1"/>
    </xf>
    <xf numFmtId="0" fontId="52" fillId="32" borderId="23" xfId="0" applyFont="1" applyFill="1" applyBorder="1" applyAlignment="1">
      <alignment horizontal="centerContinuous" vertical="center"/>
    </xf>
    <xf numFmtId="0" fontId="52" fillId="32" borderId="24" xfId="0" applyFont="1" applyFill="1" applyBorder="1" applyAlignment="1">
      <alignment horizontal="centerContinuous" vertical="center"/>
    </xf>
    <xf numFmtId="0" fontId="52" fillId="32" borderId="25" xfId="0" applyFont="1" applyFill="1" applyBorder="1" applyAlignment="1">
      <alignment horizontal="centerContinuous" vertical="center"/>
    </xf>
    <xf numFmtId="0" fontId="30" fillId="0" borderId="23" xfId="0" applyFont="1" applyBorder="1" applyAlignment="1" applyProtection="1">
      <alignment horizontal="centerContinuous" vertical="center"/>
      <protection locked="0"/>
    </xf>
    <xf numFmtId="0" fontId="30" fillId="0" borderId="24" xfId="0" applyFont="1" applyBorder="1" applyAlignment="1" applyProtection="1">
      <alignment horizontal="centerContinuous" vertical="center"/>
      <protection locked="0"/>
    </xf>
    <xf numFmtId="0" fontId="30" fillId="0" borderId="25" xfId="0" applyFont="1" applyBorder="1" applyAlignment="1" applyProtection="1">
      <alignment horizontal="centerContinuous" vertical="center"/>
      <protection locked="0"/>
    </xf>
    <xf numFmtId="1" fontId="4" fillId="0" borderId="26" xfId="0" applyNumberFormat="1" applyFont="1" applyBorder="1" applyAlignment="1">
      <alignment horizontal="center" vertical="center"/>
    </xf>
    <xf numFmtId="0" fontId="4" fillId="0" borderId="14" xfId="0" quotePrefix="1" applyFont="1" applyBorder="1" applyAlignment="1" applyProtection="1">
      <alignment horizontal="center" vertical="center" wrapText="1"/>
      <protection locked="0"/>
    </xf>
    <xf numFmtId="0" fontId="26" fillId="24" borderId="110" xfId="0" applyFont="1" applyFill="1" applyBorder="1"/>
    <xf numFmtId="0" fontId="26" fillId="0" borderId="110" xfId="0" applyFont="1" applyBorder="1"/>
    <xf numFmtId="0" fontId="26" fillId="0" borderId="110" xfId="0" applyFont="1" applyBorder="1" applyAlignment="1">
      <alignment wrapText="1"/>
    </xf>
    <xf numFmtId="0" fontId="26" fillId="24" borderId="110" xfId="0" applyFont="1" applyFill="1" applyBorder="1" applyAlignment="1">
      <alignment wrapText="1"/>
    </xf>
    <xf numFmtId="0" fontId="26" fillId="24" borderId="111" xfId="0" applyFont="1" applyFill="1" applyBorder="1"/>
    <xf numFmtId="0" fontId="26" fillId="0" borderId="111" xfId="0" applyFont="1" applyBorder="1"/>
    <xf numFmtId="0" fontId="26" fillId="24" borderId="112" xfId="0" applyFont="1" applyFill="1" applyBorder="1"/>
    <xf numFmtId="0" fontId="26" fillId="0" borderId="112" xfId="0" applyFont="1" applyBorder="1"/>
    <xf numFmtId="4" fontId="45" fillId="0" borderId="0" xfId="2" applyNumberFormat="1" applyFont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" fontId="3" fillId="0" borderId="190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81" xfId="0" applyNumberFormat="1" applyFont="1" applyBorder="1" applyAlignment="1">
      <alignment horizontal="center" vertical="center"/>
    </xf>
    <xf numFmtId="1" fontId="3" fillId="0" borderId="57" xfId="0" applyNumberFormat="1" applyFont="1" applyBorder="1" applyAlignment="1">
      <alignment horizontal="center" vertical="center"/>
    </xf>
    <xf numFmtId="1" fontId="3" fillId="0" borderId="80" xfId="0" applyNumberFormat="1" applyFont="1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92" xfId="0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86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4" fontId="0" fillId="12" borderId="78" xfId="0" applyNumberFormat="1" applyFill="1" applyBorder="1" applyAlignment="1">
      <alignment horizontal="center" vertical="center"/>
    </xf>
    <xf numFmtId="4" fontId="0" fillId="14" borderId="78" xfId="0" applyNumberFormat="1" applyFill="1" applyBorder="1" applyAlignment="1">
      <alignment horizontal="center" vertical="center"/>
    </xf>
    <xf numFmtId="4" fontId="0" fillId="13" borderId="78" xfId="0" applyNumberFormat="1" applyFill="1" applyBorder="1" applyAlignment="1">
      <alignment horizontal="center" vertical="center"/>
    </xf>
    <xf numFmtId="4" fontId="0" fillId="20" borderId="78" xfId="0" applyNumberFormat="1" applyFill="1" applyBorder="1" applyAlignment="1">
      <alignment horizontal="center" vertical="center"/>
    </xf>
    <xf numFmtId="4" fontId="3" fillId="0" borderId="57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80" xfId="0" applyNumberFormat="1" applyFont="1" applyBorder="1" applyAlignment="1">
      <alignment horizontal="center" vertical="center"/>
    </xf>
    <xf numFmtId="4" fontId="3" fillId="0" borderId="49" xfId="0" applyNumberFormat="1" applyFont="1" applyBorder="1" applyAlignment="1">
      <alignment horizontal="center" vertical="center"/>
    </xf>
    <xf numFmtId="4" fontId="3" fillId="0" borderId="58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center" vertical="center"/>
    </xf>
    <xf numFmtId="4" fontId="3" fillId="0" borderId="60" xfId="0" applyNumberFormat="1" applyFont="1" applyBorder="1" applyAlignment="1">
      <alignment horizontal="center" vertical="center"/>
    </xf>
    <xf numFmtId="4" fontId="3" fillId="0" borderId="191" xfId="0" applyNumberFormat="1" applyFont="1" applyBorder="1" applyAlignment="1">
      <alignment horizontal="center" vertical="center"/>
    </xf>
    <xf numFmtId="0" fontId="3" fillId="22" borderId="52" xfId="0" applyFont="1" applyFill="1" applyBorder="1" applyAlignment="1">
      <alignment horizontal="center" vertical="center"/>
    </xf>
    <xf numFmtId="0" fontId="0" fillId="10" borderId="19" xfId="0" applyFill="1" applyBorder="1" applyAlignment="1">
      <alignment vertical="center"/>
    </xf>
    <xf numFmtId="0" fontId="3" fillId="0" borderId="85" xfId="0" applyFont="1" applyBorder="1" applyAlignment="1">
      <alignment horizontal="center" vertical="center"/>
    </xf>
    <xf numFmtId="0" fontId="3" fillId="0" borderId="193" xfId="0" applyFont="1" applyBorder="1" applyAlignment="1">
      <alignment horizontal="center" vertical="center"/>
    </xf>
    <xf numFmtId="1" fontId="3" fillId="0" borderId="71" xfId="0" applyNumberFormat="1" applyFont="1" applyBorder="1" applyAlignment="1">
      <alignment horizontal="center" vertical="center"/>
    </xf>
    <xf numFmtId="1" fontId="3" fillId="0" borderId="54" xfId="0" applyNumberFormat="1" applyFont="1" applyBorder="1" applyAlignment="1">
      <alignment horizontal="center" vertical="center"/>
    </xf>
    <xf numFmtId="0" fontId="3" fillId="22" borderId="43" xfId="0" applyFont="1" applyFill="1" applyBorder="1" applyAlignment="1">
      <alignment horizontal="center" vertical="center"/>
    </xf>
    <xf numFmtId="0" fontId="3" fillId="10" borderId="103" xfId="0" applyFont="1" applyFill="1" applyBorder="1" applyAlignment="1">
      <alignment vertical="center"/>
    </xf>
    <xf numFmtId="1" fontId="3" fillId="0" borderId="89" xfId="0" applyNumberFormat="1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64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65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1" fontId="3" fillId="0" borderId="68" xfId="0" applyNumberFormat="1" applyFont="1" applyBorder="1" applyAlignment="1">
      <alignment horizontal="center" vertical="center"/>
    </xf>
    <xf numFmtId="1" fontId="3" fillId="0" borderId="56" xfId="0" applyNumberFormat="1" applyFont="1" applyBorder="1" applyAlignment="1">
      <alignment horizontal="center" vertical="center"/>
    </xf>
    <xf numFmtId="1" fontId="3" fillId="0" borderId="92" xfId="0" applyNumberFormat="1" applyFont="1" applyBorder="1" applyAlignment="1">
      <alignment horizontal="center" vertical="center"/>
    </xf>
    <xf numFmtId="1" fontId="3" fillId="0" borderId="55" xfId="0" applyNumberFormat="1" applyFont="1" applyBorder="1" applyAlignment="1">
      <alignment horizontal="center" vertical="center"/>
    </xf>
    <xf numFmtId="1" fontId="3" fillId="0" borderId="164" xfId="0" applyNumberFormat="1" applyFont="1" applyBorder="1" applyAlignment="1">
      <alignment horizontal="center" vertical="center"/>
    </xf>
    <xf numFmtId="1" fontId="3" fillId="0" borderId="106" xfId="0" applyNumberFormat="1" applyFont="1" applyBorder="1" applyAlignment="1">
      <alignment horizontal="center" vertical="center"/>
    </xf>
    <xf numFmtId="1" fontId="3" fillId="0" borderId="165" xfId="0" applyNumberFormat="1" applyFont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16" fontId="4" fillId="0" borderId="30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168" fontId="4" fillId="0" borderId="57" xfId="0" applyNumberFormat="1" applyFont="1" applyBorder="1" applyAlignment="1">
      <alignment horizontal="center" vertical="center" wrapText="1"/>
    </xf>
    <xf numFmtId="2" fontId="4" fillId="0" borderId="57" xfId="0" applyNumberFormat="1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168" fontId="4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14" fontId="21" fillId="0" borderId="59" xfId="0" applyNumberFormat="1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6" fontId="21" fillId="0" borderId="59" xfId="0" applyNumberFormat="1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168" fontId="4" fillId="0" borderId="89" xfId="0" applyNumberFormat="1" applyFont="1" applyBorder="1" applyAlignment="1">
      <alignment horizontal="center" vertical="center" wrapText="1"/>
    </xf>
    <xf numFmtId="2" fontId="4" fillId="0" borderId="89" xfId="0" applyNumberFormat="1" applyFont="1" applyBorder="1" applyAlignment="1">
      <alignment horizontal="center" vertical="center" wrapText="1"/>
    </xf>
    <xf numFmtId="0" fontId="21" fillId="0" borderId="90" xfId="0" applyFont="1" applyBorder="1" applyAlignment="1">
      <alignment horizontal="center" vertical="center" wrapText="1"/>
    </xf>
    <xf numFmtId="4" fontId="0" fillId="15" borderId="78" xfId="0" applyNumberFormat="1" applyFill="1" applyBorder="1" applyAlignment="1">
      <alignment horizontal="center" vertical="center"/>
    </xf>
    <xf numFmtId="4" fontId="0" fillId="16" borderId="78" xfId="0" applyNumberFormat="1" applyFill="1" applyBorder="1" applyAlignment="1">
      <alignment horizontal="center" vertical="center"/>
    </xf>
    <xf numFmtId="4" fontId="0" fillId="17" borderId="78" xfId="0" applyNumberFormat="1" applyFill="1" applyBorder="1" applyAlignment="1">
      <alignment horizontal="center" vertical="center"/>
    </xf>
    <xf numFmtId="4" fontId="0" fillId="19" borderId="78" xfId="0" applyNumberFormat="1" applyFill="1" applyBorder="1" applyAlignment="1">
      <alignment horizontal="center" vertical="center"/>
    </xf>
    <xf numFmtId="4" fontId="0" fillId="21" borderId="76" xfId="0" applyNumberFormat="1" applyFill="1" applyBorder="1" applyAlignment="1">
      <alignment horizontal="center" vertical="center"/>
    </xf>
    <xf numFmtId="4" fontId="0" fillId="19" borderId="76" xfId="0" applyNumberFormat="1" applyFill="1" applyBorder="1" applyAlignment="1">
      <alignment horizontal="center" vertical="center"/>
    </xf>
    <xf numFmtId="4" fontId="0" fillId="22" borderId="16" xfId="0" applyNumberFormat="1" applyFill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15" fillId="10" borderId="89" xfId="0" applyNumberFormat="1" applyFont="1" applyFill="1" applyBorder="1" applyAlignment="1">
      <alignment horizontal="center" vertical="center"/>
    </xf>
    <xf numFmtId="4" fontId="0" fillId="22" borderId="59" xfId="0" applyNumberFormat="1" applyFill="1" applyBorder="1" applyAlignment="1">
      <alignment horizontal="center" vertical="center"/>
    </xf>
    <xf numFmtId="4" fontId="0" fillId="0" borderId="59" xfId="0" applyNumberFormat="1" applyBorder="1" applyAlignment="1">
      <alignment horizontal="center" vertical="center"/>
    </xf>
    <xf numFmtId="4" fontId="12" fillId="22" borderId="59" xfId="0" applyNumberFormat="1" applyFont="1" applyFill="1" applyBorder="1" applyAlignment="1">
      <alignment horizontal="center" vertical="center"/>
    </xf>
    <xf numFmtId="4" fontId="12" fillId="0" borderId="59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66" fillId="0" borderId="75" xfId="0" applyFont="1" applyBorder="1" applyAlignment="1">
      <alignment horizontal="center" vertical="center"/>
    </xf>
    <xf numFmtId="0" fontId="21" fillId="0" borderId="59" xfId="0" quotePrefix="1" applyFont="1" applyBorder="1" applyAlignment="1">
      <alignment horizontal="center" vertical="center" wrapText="1"/>
    </xf>
    <xf numFmtId="0" fontId="4" fillId="0" borderId="16" xfId="0" quotePrefix="1" applyFont="1" applyBorder="1" applyAlignment="1">
      <alignment horizontal="center" vertical="center" wrapText="1"/>
    </xf>
    <xf numFmtId="0" fontId="67" fillId="0" borderId="75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2" fillId="0" borderId="10" xfId="0" applyFont="1" applyBorder="1"/>
    <xf numFmtId="167" fontId="43" fillId="0" borderId="10" xfId="0" applyNumberFormat="1" applyFont="1" applyBorder="1" applyAlignment="1">
      <alignment horizontal="left" vertical="center" wrapText="1"/>
    </xf>
    <xf numFmtId="0" fontId="0" fillId="10" borderId="16" xfId="0" applyFill="1" applyBorder="1" applyAlignment="1">
      <alignment horizontal="center" vertical="center"/>
    </xf>
    <xf numFmtId="0" fontId="0" fillId="10" borderId="59" xfId="0" applyFill="1" applyBorder="1" applyAlignment="1">
      <alignment horizontal="center" vertical="center"/>
    </xf>
    <xf numFmtId="0" fontId="15" fillId="22" borderId="41" xfId="0" applyFont="1" applyFill="1" applyBorder="1" applyAlignment="1">
      <alignment horizontal="center" vertical="center"/>
    </xf>
    <xf numFmtId="0" fontId="15" fillId="22" borderId="10" xfId="0" applyFont="1" applyFill="1" applyBorder="1" applyAlignment="1">
      <alignment horizontal="center" vertical="center"/>
    </xf>
    <xf numFmtId="0" fontId="15" fillId="22" borderId="10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42" fillId="30" borderId="22" xfId="0" applyFont="1" applyFill="1" applyBorder="1" applyAlignment="1">
      <alignment horizontal="center" vertical="center"/>
    </xf>
    <xf numFmtId="0" fontId="42" fillId="30" borderId="39" xfId="0" applyFont="1" applyFill="1" applyBorder="1" applyAlignment="1">
      <alignment horizontal="center" vertical="center"/>
    </xf>
    <xf numFmtId="0" fontId="42" fillId="30" borderId="40" xfId="0" applyFont="1" applyFill="1" applyBorder="1" applyAlignment="1">
      <alignment horizontal="center" vertical="center"/>
    </xf>
    <xf numFmtId="0" fontId="53" fillId="31" borderId="43" xfId="0" applyFont="1" applyFill="1" applyBorder="1" applyAlignment="1">
      <alignment horizontal="center" vertical="center"/>
    </xf>
    <xf numFmtId="0" fontId="53" fillId="31" borderId="26" xfId="0" applyFont="1" applyFill="1" applyBorder="1" applyAlignment="1">
      <alignment horizontal="center" vertical="center"/>
    </xf>
    <xf numFmtId="0" fontId="53" fillId="31" borderId="44" xfId="0" applyFont="1" applyFill="1" applyBorder="1" applyAlignment="1">
      <alignment horizontal="center" vertical="center"/>
    </xf>
    <xf numFmtId="0" fontId="53" fillId="22" borderId="39" xfId="0" applyFont="1" applyFill="1" applyBorder="1" applyAlignment="1">
      <alignment horizontal="center" vertical="center"/>
    </xf>
    <xf numFmtId="0" fontId="53" fillId="22" borderId="40" xfId="0" applyFont="1" applyFill="1" applyBorder="1" applyAlignment="1">
      <alignment horizontal="center" vertical="center"/>
    </xf>
    <xf numFmtId="0" fontId="53" fillId="22" borderId="26" xfId="0" applyFont="1" applyFill="1" applyBorder="1" applyAlignment="1">
      <alignment horizontal="center" vertical="center"/>
    </xf>
    <xf numFmtId="0" fontId="53" fillId="22" borderId="44" xfId="0" applyFont="1" applyFill="1" applyBorder="1" applyAlignment="1">
      <alignment horizontal="center" vertical="center"/>
    </xf>
    <xf numFmtId="166" fontId="43" fillId="0" borderId="10" xfId="0" applyNumberFormat="1" applyFont="1" applyBorder="1" applyAlignment="1">
      <alignment horizontal="right" vertical="center" wrapText="1"/>
    </xf>
    <xf numFmtId="0" fontId="42" fillId="0" borderId="23" xfId="0" applyFont="1" applyBorder="1" applyAlignment="1">
      <alignment horizontal="right" vertical="center" wrapText="1"/>
    </xf>
    <xf numFmtId="0" fontId="42" fillId="0" borderId="24" xfId="0" applyFont="1" applyBorder="1" applyAlignment="1">
      <alignment horizontal="right" vertical="center" wrapText="1"/>
    </xf>
    <xf numFmtId="0" fontId="42" fillId="0" borderId="25" xfId="0" applyFont="1" applyBorder="1" applyAlignment="1">
      <alignment horizontal="right" vertical="center" wrapText="1"/>
    </xf>
    <xf numFmtId="0" fontId="42" fillId="29" borderId="22" xfId="0" applyFont="1" applyFill="1" applyBorder="1" applyAlignment="1">
      <alignment horizontal="right" vertical="center" wrapText="1"/>
    </xf>
    <xf numFmtId="0" fontId="42" fillId="29" borderId="43" xfId="0" applyFont="1" applyFill="1" applyBorder="1" applyAlignment="1">
      <alignment horizontal="right" vertical="center" wrapText="1"/>
    </xf>
    <xf numFmtId="0" fontId="42" fillId="30" borderId="22" xfId="0" applyFont="1" applyFill="1" applyBorder="1" applyAlignment="1">
      <alignment horizontal="center" vertical="center" wrapText="1"/>
    </xf>
    <xf numFmtId="0" fontId="42" fillId="30" borderId="39" xfId="0" applyFont="1" applyFill="1" applyBorder="1" applyAlignment="1">
      <alignment horizontal="center" vertical="center" wrapText="1"/>
    </xf>
    <xf numFmtId="0" fontId="42" fillId="22" borderId="22" xfId="0" applyFont="1" applyFill="1" applyBorder="1" applyAlignment="1">
      <alignment horizontal="right" vertical="center" wrapText="1"/>
    </xf>
    <xf numFmtId="0" fontId="42" fillId="22" borderId="43" xfId="0" applyFont="1" applyFill="1" applyBorder="1" applyAlignment="1">
      <alignment horizontal="right" vertical="center" wrapText="1"/>
    </xf>
    <xf numFmtId="0" fontId="42" fillId="22" borderId="39" xfId="0" applyFont="1" applyFill="1" applyBorder="1" applyAlignment="1">
      <alignment horizontal="right" vertical="center" wrapText="1"/>
    </xf>
    <xf numFmtId="0" fontId="42" fillId="22" borderId="26" xfId="0" applyFont="1" applyFill="1" applyBorder="1" applyAlignment="1">
      <alignment horizontal="right" vertical="center" wrapText="1"/>
    </xf>
    <xf numFmtId="166" fontId="43" fillId="0" borderId="10" xfId="0" quotePrefix="1" applyNumberFormat="1" applyFont="1" applyBorder="1" applyAlignment="1">
      <alignment horizontal="center" vertical="center" wrapText="1"/>
    </xf>
    <xf numFmtId="166" fontId="43" fillId="0" borderId="10" xfId="0" applyNumberFormat="1" applyFont="1" applyBorder="1" applyAlignment="1">
      <alignment horizontal="center" vertical="center" wrapText="1"/>
    </xf>
    <xf numFmtId="167" fontId="43" fillId="0" borderId="10" xfId="0" applyNumberFormat="1" applyFont="1" applyBorder="1" applyAlignment="1">
      <alignment horizontal="left" vertical="center" wrapText="1"/>
    </xf>
    <xf numFmtId="0" fontId="42" fillId="0" borderId="81" xfId="0" applyFont="1" applyBorder="1" applyAlignment="1">
      <alignment horizontal="center" vertical="center" wrapText="1"/>
    </xf>
    <xf numFmtId="0" fontId="42" fillId="0" borderId="57" xfId="0" applyFont="1" applyBorder="1" applyAlignment="1">
      <alignment horizontal="center" vertical="center" wrapText="1"/>
    </xf>
    <xf numFmtId="0" fontId="42" fillId="0" borderId="82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 vertical="center" wrapText="1"/>
    </xf>
    <xf numFmtId="0" fontId="53" fillId="0" borderId="57" xfId="0" applyFont="1" applyBorder="1" applyAlignment="1">
      <alignment horizontal="center" vertical="center" wrapText="1"/>
    </xf>
    <xf numFmtId="0" fontId="53" fillId="0" borderId="58" xfId="0" applyFont="1" applyBorder="1" applyAlignment="1">
      <alignment horizontal="center" vertical="center" wrapText="1"/>
    </xf>
    <xf numFmtId="0" fontId="53" fillId="0" borderId="89" xfId="0" applyFont="1" applyBorder="1" applyAlignment="1">
      <alignment horizontal="center" vertical="center" wrapText="1"/>
    </xf>
    <xf numFmtId="0" fontId="53" fillId="0" borderId="90" xfId="0" applyFont="1" applyBorder="1" applyAlignment="1">
      <alignment horizontal="center" vertical="center" wrapText="1"/>
    </xf>
    <xf numFmtId="0" fontId="3" fillId="3" borderId="64" xfId="0" applyFont="1" applyFill="1" applyBorder="1" applyAlignment="1" applyProtection="1">
      <alignment horizontal="center" vertical="center"/>
      <protection locked="0"/>
    </xf>
    <xf numFmtId="0" fontId="3" fillId="3" borderId="65" xfId="0" applyFont="1" applyFill="1" applyBorder="1" applyAlignment="1" applyProtection="1">
      <alignment horizontal="center" vertical="center"/>
      <protection locked="0"/>
    </xf>
    <xf numFmtId="0" fontId="3" fillId="3" borderId="66" xfId="0" applyFont="1" applyFill="1" applyBorder="1" applyAlignment="1" applyProtection="1">
      <alignment horizontal="center" vertical="center"/>
      <protection locked="0"/>
    </xf>
    <xf numFmtId="0" fontId="3" fillId="3" borderId="61" xfId="0" applyFont="1" applyFill="1" applyBorder="1" applyAlignment="1" applyProtection="1">
      <alignment horizontal="center"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67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63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140" xfId="0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2" borderId="5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9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 wrapText="1"/>
    </xf>
    <xf numFmtId="0" fontId="4" fillId="2" borderId="81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wrapText="1"/>
    </xf>
    <xf numFmtId="0" fontId="4" fillId="2" borderId="88" xfId="0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38" xfId="0" applyFont="1" applyFill="1" applyBorder="1" applyAlignment="1" applyProtection="1">
      <alignment horizontal="center" vertical="center"/>
      <protection locked="0"/>
    </xf>
    <xf numFmtId="0" fontId="5" fillId="2" borderId="113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2" fillId="8" borderId="5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141" xfId="0" applyFont="1" applyFill="1" applyBorder="1" applyAlignment="1">
      <alignment horizontal="center" vertical="center" wrapText="1"/>
    </xf>
    <xf numFmtId="0" fontId="4" fillId="2" borderId="14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34" borderId="85" xfId="0" applyFont="1" applyFill="1" applyBorder="1" applyAlignment="1">
      <alignment horizontal="center" vertical="center"/>
    </xf>
    <xf numFmtId="0" fontId="4" fillId="34" borderId="140" xfId="0" applyFont="1" applyFill="1" applyBorder="1" applyAlignment="1">
      <alignment horizontal="center" vertical="center"/>
    </xf>
    <xf numFmtId="0" fontId="4" fillId="34" borderId="154" xfId="0" applyFont="1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10" borderId="40" xfId="0" applyFill="1" applyBorder="1" applyAlignment="1">
      <alignment horizontal="center" vertical="center"/>
    </xf>
    <xf numFmtId="0" fontId="0" fillId="10" borderId="44" xfId="0" applyFill="1" applyBorder="1" applyAlignment="1">
      <alignment horizontal="center" vertical="center"/>
    </xf>
    <xf numFmtId="0" fontId="0" fillId="10" borderId="179" xfId="0" applyFill="1" applyBorder="1" applyAlignment="1">
      <alignment horizontal="center" vertical="center"/>
    </xf>
    <xf numFmtId="0" fontId="0" fillId="10" borderId="152" xfId="0" applyFill="1" applyBorder="1" applyAlignment="1">
      <alignment horizontal="center" vertical="center"/>
    </xf>
    <xf numFmtId="0" fontId="0" fillId="10" borderId="185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0" fillId="10" borderId="153" xfId="0" applyFill="1" applyBorder="1" applyAlignment="1">
      <alignment horizontal="center" vertical="center"/>
    </xf>
    <xf numFmtId="0" fontId="15" fillId="22" borderId="81" xfId="0" applyFont="1" applyFill="1" applyBorder="1" applyAlignment="1">
      <alignment horizontal="center" vertical="center"/>
    </xf>
    <xf numFmtId="0" fontId="15" fillId="22" borderId="58" xfId="0" applyFont="1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59" xfId="0" applyFill="1" applyBorder="1" applyAlignment="1">
      <alignment horizontal="center" vertical="center"/>
    </xf>
    <xf numFmtId="0" fontId="15" fillId="22" borderId="68" xfId="0" applyFont="1" applyFill="1" applyBorder="1" applyAlignment="1">
      <alignment horizontal="center" vertical="center"/>
    </xf>
    <xf numFmtId="0" fontId="15" fillId="22" borderId="5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7" borderId="103" xfId="0" applyFont="1" applyFill="1" applyBorder="1" applyAlignment="1">
      <alignment horizontal="center"/>
    </xf>
    <xf numFmtId="0" fontId="4" fillId="7" borderId="52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4" fillId="2" borderId="164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15" fillId="7" borderId="81" xfId="0" applyFont="1" applyFill="1" applyBorder="1" applyAlignment="1">
      <alignment horizontal="center" vertical="center" wrapText="1"/>
    </xf>
    <xf numFmtId="0" fontId="15" fillId="7" borderId="75" xfId="0" applyFont="1" applyFill="1" applyBorder="1" applyAlignment="1">
      <alignment horizontal="center" vertical="center" wrapText="1"/>
    </xf>
    <xf numFmtId="0" fontId="15" fillId="7" borderId="88" xfId="0" applyFont="1" applyFill="1" applyBorder="1" applyAlignment="1">
      <alignment horizontal="center" vertical="center" wrapText="1"/>
    </xf>
    <xf numFmtId="0" fontId="4" fillId="7" borderId="58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4" fillId="7" borderId="83" xfId="0" applyFont="1" applyFill="1" applyBorder="1" applyAlignment="1">
      <alignment horizontal="center" vertical="center" wrapText="1"/>
    </xf>
    <xf numFmtId="0" fontId="4" fillId="7" borderId="164" xfId="0" applyFont="1" applyFill="1" applyBorder="1" applyAlignment="1">
      <alignment horizontal="center" vertical="center" wrapText="1"/>
    </xf>
    <xf numFmtId="0" fontId="4" fillId="7" borderId="106" xfId="0" applyFont="1" applyFill="1" applyBorder="1" applyAlignment="1">
      <alignment horizontal="center" vertical="center" wrapText="1"/>
    </xf>
    <xf numFmtId="0" fontId="4" fillId="7" borderId="166" xfId="0" applyFont="1" applyFill="1" applyBorder="1" applyAlignment="1">
      <alignment horizontal="center" vertical="center" wrapText="1"/>
    </xf>
    <xf numFmtId="0" fontId="4" fillId="7" borderId="57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73" xfId="0" applyFont="1" applyFill="1" applyBorder="1" applyAlignment="1">
      <alignment horizontal="center" vertical="center" wrapText="1"/>
    </xf>
    <xf numFmtId="0" fontId="4" fillId="7" borderId="70" xfId="0" applyFont="1" applyFill="1" applyBorder="1" applyAlignment="1">
      <alignment horizontal="center" vertical="center" wrapText="1"/>
    </xf>
    <xf numFmtId="0" fontId="4" fillId="7" borderId="155" xfId="0" applyFont="1" applyFill="1" applyBorder="1" applyAlignment="1">
      <alignment horizontal="center" vertical="center" wrapText="1"/>
    </xf>
    <xf numFmtId="0" fontId="4" fillId="7" borderId="150" xfId="0" applyFont="1" applyFill="1" applyBorder="1" applyAlignment="1">
      <alignment horizontal="center" vertical="center" wrapText="1"/>
    </xf>
    <xf numFmtId="0" fontId="4" fillId="7" borderId="96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0" fillId="10" borderId="92" xfId="0" applyFill="1" applyBorder="1" applyAlignment="1">
      <alignment horizontal="center" vertical="center"/>
    </xf>
    <xf numFmtId="0" fontId="0" fillId="10" borderId="89" xfId="0" applyFill="1" applyBorder="1" applyAlignment="1">
      <alignment horizontal="center" vertical="center"/>
    </xf>
    <xf numFmtId="0" fontId="0" fillId="10" borderId="90" xfId="0" applyFill="1" applyBorder="1" applyAlignment="1">
      <alignment horizontal="center" vertical="center"/>
    </xf>
    <xf numFmtId="0" fontId="58" fillId="5" borderId="23" xfId="0" applyFont="1" applyFill="1" applyBorder="1" applyAlignment="1">
      <alignment horizontal="center" vertical="center" wrapText="1"/>
    </xf>
    <xf numFmtId="0" fontId="58" fillId="5" borderId="24" xfId="0" applyFont="1" applyFill="1" applyBorder="1" applyAlignment="1">
      <alignment horizontal="center" vertical="center" wrapText="1"/>
    </xf>
    <xf numFmtId="0" fontId="58" fillId="5" borderId="25" xfId="0" applyFont="1" applyFill="1" applyBorder="1" applyAlignment="1">
      <alignment horizontal="center" vertical="center" wrapText="1"/>
    </xf>
    <xf numFmtId="0" fontId="3" fillId="10" borderId="40" xfId="0" applyFont="1" applyFill="1" applyBorder="1" applyAlignment="1">
      <alignment horizontal="center" vertical="center"/>
    </xf>
    <xf numFmtId="0" fontId="3" fillId="10" borderId="42" xfId="0" applyFont="1" applyFill="1" applyBorder="1" applyAlignment="1">
      <alignment horizontal="center" vertical="center"/>
    </xf>
    <xf numFmtId="0" fontId="3" fillId="10" borderId="19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03" xfId="0" applyFont="1" applyFill="1" applyBorder="1" applyAlignment="1">
      <alignment horizontal="center" vertical="center" wrapText="1"/>
    </xf>
    <xf numFmtId="0" fontId="3" fillId="2" borderId="151" xfId="0" applyFont="1" applyFill="1" applyBorder="1" applyAlignment="1">
      <alignment horizontal="center" vertical="center" wrapText="1"/>
    </xf>
    <xf numFmtId="0" fontId="3" fillId="10" borderId="195" xfId="0" applyFont="1" applyFill="1" applyBorder="1" applyAlignment="1">
      <alignment horizontal="center" vertical="center"/>
    </xf>
    <xf numFmtId="0" fontId="3" fillId="10" borderId="196" xfId="0" applyFont="1" applyFill="1" applyBorder="1" applyAlignment="1">
      <alignment horizontal="center" vertical="center"/>
    </xf>
    <xf numFmtId="0" fontId="3" fillId="10" borderId="197" xfId="0" applyFont="1" applyFill="1" applyBorder="1" applyAlignment="1">
      <alignment horizontal="center" vertical="center"/>
    </xf>
    <xf numFmtId="0" fontId="3" fillId="10" borderId="41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103" xfId="0" applyFont="1" applyFill="1" applyBorder="1" applyAlignment="1">
      <alignment horizontal="center" vertical="center" wrapText="1"/>
    </xf>
    <xf numFmtId="0" fontId="3" fillId="6" borderId="15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69" xfId="0" applyFont="1" applyFill="1" applyBorder="1" applyAlignment="1">
      <alignment horizontal="center" vertical="center" wrapText="1"/>
    </xf>
    <xf numFmtId="0" fontId="3" fillId="2" borderId="173" xfId="0" applyFont="1" applyFill="1" applyBorder="1" applyAlignment="1">
      <alignment horizontal="center" vertical="center" wrapText="1"/>
    </xf>
    <xf numFmtId="0" fontId="3" fillId="2" borderId="155" xfId="0" applyFont="1" applyFill="1" applyBorder="1" applyAlignment="1">
      <alignment horizontal="center" vertical="center" wrapText="1"/>
    </xf>
    <xf numFmtId="0" fontId="3" fillId="2" borderId="15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/>
    </xf>
    <xf numFmtId="0" fontId="15" fillId="12" borderId="25" xfId="0" applyFont="1" applyFill="1" applyBorder="1" applyAlignment="1">
      <alignment horizontal="center" vertical="center"/>
    </xf>
    <xf numFmtId="0" fontId="24" fillId="10" borderId="23" xfId="0" applyFont="1" applyFill="1" applyBorder="1" applyAlignment="1">
      <alignment horizontal="center" vertical="center"/>
    </xf>
    <xf numFmtId="0" fontId="24" fillId="10" borderId="24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0" fillId="33" borderId="25" xfId="0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173" xfId="0" applyFont="1" applyFill="1" applyBorder="1" applyAlignment="1">
      <alignment horizontal="center" vertical="center"/>
    </xf>
    <xf numFmtId="0" fontId="15" fillId="22" borderId="74" xfId="0" applyFont="1" applyFill="1" applyBorder="1" applyAlignment="1">
      <alignment horizontal="center" vertical="center"/>
    </xf>
    <xf numFmtId="0" fontId="0" fillId="10" borderId="86" xfId="0" applyFill="1" applyBorder="1" applyAlignment="1">
      <alignment horizontal="center" vertical="center"/>
    </xf>
    <xf numFmtId="0" fontId="15" fillId="18" borderId="23" xfId="0" applyFont="1" applyFill="1" applyBorder="1" applyAlignment="1">
      <alignment horizontal="center" vertical="center"/>
    </xf>
    <xf numFmtId="0" fontId="15" fillId="18" borderId="24" xfId="0" applyFont="1" applyFill="1" applyBorder="1" applyAlignment="1">
      <alignment horizontal="center" vertical="center"/>
    </xf>
    <xf numFmtId="0" fontId="15" fillId="18" borderId="25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24" xfId="0" applyFont="1" applyFill="1" applyBorder="1" applyAlignment="1">
      <alignment horizontal="center" vertical="center"/>
    </xf>
    <xf numFmtId="0" fontId="15" fillId="15" borderId="25" xfId="0" applyFont="1" applyFill="1" applyBorder="1" applyAlignment="1">
      <alignment horizontal="center" vertical="center"/>
    </xf>
    <xf numFmtId="0" fontId="15" fillId="22" borderId="41" xfId="0" applyFont="1" applyFill="1" applyBorder="1" applyAlignment="1">
      <alignment horizontal="center" vertical="center"/>
    </xf>
    <xf numFmtId="0" fontId="15" fillId="22" borderId="10" xfId="0" applyFont="1" applyFill="1" applyBorder="1" applyAlignment="1">
      <alignment horizontal="center" vertical="center"/>
    </xf>
    <xf numFmtId="0" fontId="15" fillId="22" borderId="22" xfId="0" applyFont="1" applyFill="1" applyBorder="1" applyAlignment="1">
      <alignment horizontal="center" vertical="center"/>
    </xf>
    <xf numFmtId="0" fontId="15" fillId="22" borderId="39" xfId="0" applyFont="1" applyFill="1" applyBorder="1" applyAlignment="1">
      <alignment horizontal="center" vertical="center"/>
    </xf>
    <xf numFmtId="0" fontId="15" fillId="14" borderId="23" xfId="0" applyFont="1" applyFill="1" applyBorder="1" applyAlignment="1">
      <alignment horizontal="center" vertical="center"/>
    </xf>
    <xf numFmtId="0" fontId="15" fillId="14" borderId="24" xfId="0" applyFont="1" applyFill="1" applyBorder="1" applyAlignment="1">
      <alignment horizontal="center" vertical="center"/>
    </xf>
    <xf numFmtId="0" fontId="15" fillId="14" borderId="25" xfId="0" applyFont="1" applyFill="1" applyBorder="1" applyAlignment="1">
      <alignment horizontal="center" vertical="center"/>
    </xf>
    <xf numFmtId="0" fontId="15" fillId="22" borderId="169" xfId="0" applyFont="1" applyFill="1" applyBorder="1" applyAlignment="1">
      <alignment horizontal="center" vertical="center"/>
    </xf>
    <xf numFmtId="0" fontId="15" fillId="22" borderId="106" xfId="0" applyFont="1" applyFill="1" applyBorder="1" applyAlignment="1">
      <alignment horizontal="center" vertical="center"/>
    </xf>
    <xf numFmtId="0" fontId="15" fillId="22" borderId="145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5" borderId="39" xfId="0" applyFont="1" applyFill="1" applyBorder="1" applyAlignment="1">
      <alignment horizontal="center" vertical="center"/>
    </xf>
    <xf numFmtId="0" fontId="24" fillId="5" borderId="40" xfId="0" applyFont="1" applyFill="1" applyBorder="1" applyAlignment="1">
      <alignment horizontal="center" vertical="center"/>
    </xf>
    <xf numFmtId="0" fontId="24" fillId="5" borderId="43" xfId="0" applyFont="1" applyFill="1" applyBorder="1" applyAlignment="1">
      <alignment horizontal="center" vertical="center"/>
    </xf>
    <xf numFmtId="0" fontId="24" fillId="5" borderId="26" xfId="0" applyFont="1" applyFill="1" applyBorder="1" applyAlignment="1">
      <alignment horizontal="center" vertical="center"/>
    </xf>
    <xf numFmtId="0" fontId="24" fillId="5" borderId="44" xfId="0" applyFont="1" applyFill="1" applyBorder="1" applyAlignment="1">
      <alignment horizontal="center" vertical="center"/>
    </xf>
    <xf numFmtId="0" fontId="0" fillId="10" borderId="85" xfId="0" applyFill="1" applyBorder="1" applyAlignment="1">
      <alignment horizontal="center" vertical="center"/>
    </xf>
    <xf numFmtId="0" fontId="0" fillId="10" borderId="154" xfId="0" applyFill="1" applyBorder="1" applyAlignment="1">
      <alignment horizontal="center" vertical="center"/>
    </xf>
    <xf numFmtId="0" fontId="0" fillId="10" borderId="103" xfId="0" applyFill="1" applyBorder="1" applyAlignment="1">
      <alignment horizontal="center" vertical="center"/>
    </xf>
    <xf numFmtId="0" fontId="0" fillId="10" borderId="15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15" fillId="22" borderId="85" xfId="0" applyFont="1" applyFill="1" applyBorder="1" applyAlignment="1">
      <alignment horizontal="center" vertical="center"/>
    </xf>
    <xf numFmtId="0" fontId="15" fillId="22" borderId="140" xfId="0" applyFont="1" applyFill="1" applyBorder="1" applyAlignment="1">
      <alignment horizontal="center" vertical="center"/>
    </xf>
    <xf numFmtId="0" fontId="54" fillId="10" borderId="157" xfId="0" applyFont="1" applyFill="1" applyBorder="1" applyAlignment="1">
      <alignment horizontal="center" vertical="center"/>
    </xf>
    <xf numFmtId="0" fontId="54" fillId="10" borderId="158" xfId="0" applyFont="1" applyFill="1" applyBorder="1" applyAlignment="1">
      <alignment horizontal="center" vertical="center"/>
    </xf>
    <xf numFmtId="0" fontId="54" fillId="10" borderId="159" xfId="0" applyFont="1" applyFill="1" applyBorder="1" applyAlignment="1">
      <alignment horizontal="center" vertical="center"/>
    </xf>
    <xf numFmtId="0" fontId="55" fillId="10" borderId="160" xfId="0" applyFont="1" applyFill="1" applyBorder="1" applyAlignment="1">
      <alignment horizontal="center" vertical="center"/>
    </xf>
    <xf numFmtId="0" fontId="55" fillId="10" borderId="108" xfId="0" applyFont="1" applyFill="1" applyBorder="1" applyAlignment="1">
      <alignment horizontal="center" vertical="center"/>
    </xf>
    <xf numFmtId="0" fontId="55" fillId="10" borderId="109" xfId="0" applyFont="1" applyFill="1" applyBorder="1" applyAlignment="1">
      <alignment horizontal="center" vertical="center"/>
    </xf>
    <xf numFmtId="1" fontId="56" fillId="10" borderId="184" xfId="0" applyNumberFormat="1" applyFont="1" applyFill="1" applyBorder="1" applyAlignment="1">
      <alignment horizontal="center" vertical="center"/>
    </xf>
    <xf numFmtId="1" fontId="56" fillId="10" borderId="181" xfId="0" applyNumberFormat="1" applyFont="1" applyFill="1" applyBorder="1" applyAlignment="1">
      <alignment horizontal="center" vertical="center"/>
    </xf>
    <xf numFmtId="1" fontId="56" fillId="10" borderId="182" xfId="0" applyNumberFormat="1" applyFont="1" applyFill="1" applyBorder="1" applyAlignment="1">
      <alignment horizontal="center" vertical="center"/>
    </xf>
    <xf numFmtId="0" fontId="55" fillId="10" borderId="107" xfId="0" applyFont="1" applyFill="1" applyBorder="1" applyAlignment="1">
      <alignment horizontal="center" vertical="center"/>
    </xf>
    <xf numFmtId="4" fontId="56" fillId="10" borderId="180" xfId="0" applyNumberFormat="1" applyFont="1" applyFill="1" applyBorder="1" applyAlignment="1">
      <alignment horizontal="center" vertical="center"/>
    </xf>
    <xf numFmtId="4" fontId="56" fillId="10" borderId="181" xfId="0" applyNumberFormat="1" applyFont="1" applyFill="1" applyBorder="1" applyAlignment="1">
      <alignment horizontal="center" vertical="center"/>
    </xf>
    <xf numFmtId="4" fontId="56" fillId="10" borderId="182" xfId="0" applyNumberFormat="1" applyFont="1" applyFill="1" applyBorder="1" applyAlignment="1">
      <alignment horizontal="center" vertical="center"/>
    </xf>
    <xf numFmtId="1" fontId="56" fillId="10" borderId="180" xfId="0" applyNumberFormat="1" applyFont="1" applyFill="1" applyBorder="1" applyAlignment="1">
      <alignment horizontal="center" vertical="center"/>
    </xf>
    <xf numFmtId="0" fontId="55" fillId="10" borderId="161" xfId="0" applyFont="1" applyFill="1" applyBorder="1" applyAlignment="1">
      <alignment horizontal="center" vertical="center"/>
    </xf>
    <xf numFmtId="4" fontId="56" fillId="10" borderId="183" xfId="0" applyNumberFormat="1" applyFont="1" applyFill="1" applyBorder="1" applyAlignment="1">
      <alignment horizontal="center" vertical="center"/>
    </xf>
    <xf numFmtId="0" fontId="0" fillId="10" borderId="163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10" borderId="91" xfId="0" applyFill="1" applyBorder="1" applyAlignment="1">
      <alignment horizontal="center" vertical="center"/>
    </xf>
    <xf numFmtId="0" fontId="0" fillId="10" borderId="178" xfId="0" applyFill="1" applyBorder="1" applyAlignment="1">
      <alignment horizontal="center" vertical="center"/>
    </xf>
    <xf numFmtId="0" fontId="15" fillId="13" borderId="23" xfId="0" applyFont="1" applyFill="1" applyBorder="1" applyAlignment="1">
      <alignment horizontal="center" vertical="center"/>
    </xf>
    <xf numFmtId="0" fontId="15" fillId="13" borderId="24" xfId="0" applyFont="1" applyFill="1" applyBorder="1" applyAlignment="1">
      <alignment horizontal="center" vertical="center"/>
    </xf>
    <xf numFmtId="0" fontId="15" fillId="13" borderId="25" xfId="0" applyFont="1" applyFill="1" applyBorder="1" applyAlignment="1">
      <alignment horizontal="center" vertical="center"/>
    </xf>
    <xf numFmtId="0" fontId="15" fillId="21" borderId="23" xfId="0" applyFont="1" applyFill="1" applyBorder="1" applyAlignment="1">
      <alignment horizontal="center" vertical="center"/>
    </xf>
    <xf numFmtId="0" fontId="15" fillId="21" borderId="24" xfId="0" applyFont="1" applyFill="1" applyBorder="1" applyAlignment="1">
      <alignment horizontal="center" vertical="center"/>
    </xf>
    <xf numFmtId="0" fontId="15" fillId="21" borderId="25" xfId="0" applyFont="1" applyFill="1" applyBorder="1" applyAlignment="1">
      <alignment horizontal="center" vertical="center"/>
    </xf>
    <xf numFmtId="0" fontId="15" fillId="16" borderId="23" xfId="0" applyFont="1" applyFill="1" applyBorder="1" applyAlignment="1">
      <alignment horizontal="center" vertical="center"/>
    </xf>
    <xf numFmtId="0" fontId="15" fillId="16" borderId="24" xfId="0" applyFont="1" applyFill="1" applyBorder="1" applyAlignment="1">
      <alignment horizontal="center" vertical="center"/>
    </xf>
    <xf numFmtId="0" fontId="15" fillId="16" borderId="25" xfId="0" applyFont="1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0" fontId="15" fillId="17" borderId="23" xfId="0" applyFont="1" applyFill="1" applyBorder="1" applyAlignment="1">
      <alignment horizontal="center" vertical="center"/>
    </xf>
    <xf numFmtId="0" fontId="15" fillId="17" borderId="24" xfId="0" applyFont="1" applyFill="1" applyBorder="1" applyAlignment="1">
      <alignment horizontal="center" vertical="center"/>
    </xf>
    <xf numFmtId="0" fontId="15" fillId="17" borderId="25" xfId="0" applyFont="1" applyFill="1" applyBorder="1" applyAlignment="1">
      <alignment horizontal="center" vertical="center"/>
    </xf>
    <xf numFmtId="0" fontId="15" fillId="19" borderId="23" xfId="0" applyFont="1" applyFill="1" applyBorder="1" applyAlignment="1">
      <alignment horizontal="center" vertical="center"/>
    </xf>
    <xf numFmtId="0" fontId="15" fillId="19" borderId="24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center" vertical="center"/>
    </xf>
    <xf numFmtId="0" fontId="15" fillId="20" borderId="23" xfId="0" applyFont="1" applyFill="1" applyBorder="1" applyAlignment="1">
      <alignment horizontal="center" vertical="center"/>
    </xf>
    <xf numFmtId="0" fontId="15" fillId="20" borderId="24" xfId="0" applyFont="1" applyFill="1" applyBorder="1" applyAlignment="1">
      <alignment horizontal="center" vertical="center"/>
    </xf>
    <xf numFmtId="0" fontId="15" fillId="20" borderId="2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0" xfId="0" applyFont="1" applyBorder="1"/>
  </cellXfs>
  <cellStyles count="3">
    <cellStyle name="Comma" xfId="2" builtinId="3"/>
    <cellStyle name="Hyperlink" xfId="1" builtinId="8"/>
    <cellStyle name="Normal" xfId="0" builtinId="0"/>
  </cellStyles>
  <dxfs count="29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rgb="FFC00000"/>
        </patternFill>
      </fill>
    </dxf>
    <dxf>
      <fill>
        <patternFill patternType="solid">
          <fgColor rgb="FFEAF1DD"/>
          <bgColor theme="0" tint="-4.9989318521683403E-2"/>
        </patternFill>
      </fill>
    </dxf>
    <dxf>
      <fill>
        <patternFill patternType="solid">
          <fgColor rgb="FFEAF1DD"/>
          <bgColor theme="0" tint="-4.9989318521683403E-2"/>
        </patternFill>
      </fill>
    </dxf>
    <dxf>
      <fill>
        <patternFill patternType="solid">
          <fgColor rgb="FFEAF1DD"/>
          <bgColor theme="0" tint="-4.9989318521683403E-2"/>
        </patternFill>
      </fill>
    </dxf>
    <dxf>
      <fill>
        <patternFill patternType="solid">
          <fgColor rgb="FFEAF1DD"/>
          <bgColor theme="0" tint="-4.9989318521683403E-2"/>
        </patternFill>
      </fill>
    </dxf>
    <dxf>
      <fill>
        <patternFill patternType="solid">
          <fgColor rgb="FFEAF1DD"/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8" formatCode="m/d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8" formatCode="m/d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8" formatCode="m/d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8" formatCode="m/d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8" formatCode="m/d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m/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medium">
          <color rgb="FF000000"/>
        </left>
        <right style="medium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m/d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m/d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rgb="FFFF0000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m/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m/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FF0000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1" hidden="0"/>
    </dxf>
    <dxf>
      <border outline="0">
        <left style="medium">
          <color rgb="FF000000"/>
        </left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/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protection locked="1" hidden="0"/>
    </dxf>
    <dxf>
      <fill>
        <patternFill patternType="solid">
          <fgColor rgb="FFEAF1DD"/>
          <bgColor theme="0" tint="-4.9989318521683403E-2"/>
        </patternFill>
      </fill>
    </dxf>
    <dxf>
      <fill>
        <patternFill patternType="solid">
          <fgColor rgb="FFEAF1DD"/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C00000"/>
        </patternFill>
      </fill>
    </dxf>
    <dxf>
      <fill>
        <patternFill patternType="solid">
          <fgColor rgb="FFDAEEF3"/>
          <bgColor theme="0" tint="-4.9989318521683403E-2"/>
        </patternFill>
      </fill>
    </dxf>
    <dxf>
      <fill>
        <patternFill patternType="solid">
          <fgColor rgb="FFDAEEF3"/>
          <bgColor theme="0" tint="-4.9989318521683403E-2"/>
        </patternFill>
      </fill>
    </dxf>
    <dxf>
      <fill>
        <patternFill patternType="solid">
          <fgColor rgb="FFDAEEF3"/>
          <bgColor theme="0" tint="-4.9989318521683403E-2"/>
        </patternFill>
      </fill>
    </dxf>
    <dxf>
      <fill>
        <patternFill patternType="solid">
          <fgColor rgb="FFEAF1DD"/>
          <bgColor theme="0" tint="-4.9989318521683403E-2"/>
        </patternFill>
      </fill>
    </dxf>
    <dxf>
      <fill>
        <patternFill patternType="solid">
          <fgColor rgb="FFDAEEF3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" formatCode="d\-mmm"/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" formatCode="d\-mmm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border diagonalUp="0" diagonalDown="0">
        <left style="thin">
          <color rgb="FF000000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vertical="center" indent="0" justifyLastLine="0" shrinkToFit="0" readingOrder="0"/>
      <border diagonalUp="0" diagonalDown="0" outline="0">
        <right style="thin">
          <color rgb="FF000000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vertical="center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vertical="center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vertical="center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vertical="center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border diagonalUp="0" diagonalDown="0">
        <left style="medium">
          <color rgb="FFFF0000"/>
        </left>
      </border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protection locked="0" hidden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indent="0" justifyLastLine="0" shrinkToFit="0" readingOrder="0"/>
      <protection locked="0" hidden="0"/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 patternType="solid">
          <fgColor rgb="FFEAF1DD"/>
          <bgColor theme="0" tint="-4.9989318521683403E-2"/>
        </patternFill>
      </fill>
    </dxf>
    <dxf>
      <fill>
        <patternFill patternType="solid">
          <fgColor rgb="FFEAF1DD"/>
          <bgColor theme="0" tint="-4.9989318521683403E-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rgb="FFC00000"/>
        </patternFill>
      </fill>
    </dxf>
    <dxf>
      <fill>
        <patternFill patternType="solid">
          <fgColor rgb="FFEAF1DD"/>
          <bgColor theme="0" tint="-4.9989318521683403E-2"/>
        </patternFill>
      </fill>
    </dxf>
    <dxf>
      <fill>
        <patternFill patternType="solid">
          <fgColor rgb="FFEAF1DD"/>
          <bgColor theme="0" tint="-4.9989318521683403E-2"/>
        </patternFill>
      </fill>
    </dxf>
    <dxf>
      <fill>
        <patternFill patternType="solid">
          <fgColor rgb="FFEAF1DD"/>
          <bgColor theme="0" tint="-4.9989318521683403E-2"/>
        </patternFill>
      </fill>
    </dxf>
    <dxf>
      <fill>
        <patternFill patternType="solid">
          <fgColor rgb="FFEAF1DD"/>
          <bgColor theme="0" tint="-4.9989318521683403E-2"/>
        </patternFill>
      </fill>
    </dxf>
    <dxf>
      <fill>
        <patternFill patternType="solid">
          <fgColor rgb="FFEAF1DD"/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DAEEF3"/>
          <bgColor theme="0" tint="-4.9989318521683403E-2"/>
        </patternFill>
      </fill>
    </dxf>
    <dxf>
      <fill>
        <patternFill patternType="solid">
          <fgColor rgb="FFDAEEF3"/>
          <bgColor theme="0" tint="-4.9989318521683403E-2"/>
        </patternFill>
      </fill>
    </dxf>
    <dxf>
      <fill>
        <patternFill patternType="solid">
          <fgColor rgb="FFDAEEF3"/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EAF1DD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m/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rgb="FFFF0000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m/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4" formatCode="#,##0.00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m/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164" formatCode="m/d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FF0000"/>
        </left>
        <right style="thin">
          <color indexed="64"/>
        </right>
        <top/>
        <bottom style="thin">
          <color indexed="64"/>
        </bottom>
      </border>
    </dxf>
    <dxf>
      <border outline="0">
        <top style="medium">
          <color theme="1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m/d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m/d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4" formatCode="#,##0.00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4" formatCode="#,##0.00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4" formatCode="#,##0.00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4" formatCode="#,##0.00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m/d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m/d"/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30" formatCode="@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ill>
        <patternFill patternType="solid">
          <fgColor rgb="FFE2EFDA"/>
          <bgColor rgb="FFE2EFDA"/>
        </patternFill>
      </fill>
    </dxf>
    <dxf>
      <fill>
        <patternFill patternType="solid">
          <fgColor rgb="FFE2EFDA"/>
          <bgColor rgb="FFE2EFDA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0AD47"/>
        </top>
      </border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color rgb="FF000000"/>
      </font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70AD47"/>
          <bgColor rgb="FF70AD47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ED7D31"/>
          <bgColor rgb="FFED7D31"/>
        </patternFill>
      </fill>
    </dxf>
    <dxf>
      <font>
        <b/>
        <color rgb="FFFFFFFF"/>
      </font>
      <fill>
        <patternFill patternType="solid">
          <fgColor rgb="FFED7D31"/>
          <bgColor rgb="FFED7D31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ED7D31"/>
          <bgColor rgb="FFED7D31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4" defaultTableStyle="TableStyleMedium2" defaultPivotStyle="PivotStyleLight16">
    <tableStyle name="FS-SCF-style" pivot="0" count="2" xr9:uid="{00000000-0011-0000-FFFF-FFFF00000000}">
      <tableStyleElement type="firstRowStripe" dxfId="296"/>
      <tableStyleElement type="secondRowStripe" dxfId="295"/>
    </tableStyle>
    <tableStyle name="TableStyleMedium17 2" pivot="0" count="7" xr9:uid="{2F54BF1A-6574-4A9B-A4D4-15C7372B9A5E}">
      <tableStyleElement type="wholeTable" dxfId="294"/>
      <tableStyleElement type="headerRow" dxfId="293"/>
      <tableStyleElement type="totalRow" dxfId="292"/>
      <tableStyleElement type="firstColumn" dxfId="291"/>
      <tableStyleElement type="lastColumn" dxfId="290"/>
      <tableStyleElement type="firstRowStripe" dxfId="289"/>
      <tableStyleElement type="firstColumnStripe" dxfId="288"/>
    </tableStyle>
    <tableStyle name="TableStyleMedium21 2" pivot="0" count="7" xr9:uid="{F0BF66DE-8B32-4ABD-AE13-8225C659A75C}">
      <tableStyleElement type="wholeTable" dxfId="287"/>
      <tableStyleElement type="headerRow" dxfId="286"/>
      <tableStyleElement type="totalRow" dxfId="285"/>
      <tableStyleElement type="firstColumn" dxfId="284"/>
      <tableStyleElement type="lastColumn" dxfId="283"/>
      <tableStyleElement type="firstRowStripe" dxfId="282"/>
      <tableStyleElement type="firstColumnStripe" dxfId="281"/>
    </tableStyle>
    <tableStyle name="TableStyleMedium7 2" pivot="0" count="7" xr9:uid="{2C1D6BE8-546A-4B04-A49C-9C30BE16768F}">
      <tableStyleElement type="wholeTable" dxfId="280"/>
      <tableStyleElement type="headerRow" dxfId="279"/>
      <tableStyleElement type="totalRow" dxfId="278"/>
      <tableStyleElement type="firstColumn" dxfId="277"/>
      <tableStyleElement type="lastColumn" dxfId="276"/>
      <tableStyleElement type="firstRowStripe" dxfId="275"/>
      <tableStyleElement type="firstColumnStripe" dxfId="274"/>
    </tableStyle>
  </tableStyles>
  <colors>
    <mruColors>
      <color rgb="FFF6F3FF"/>
      <color rgb="FFFCFBFF"/>
      <color rgb="FFD3BDFF"/>
      <color rgb="FFCCCCFF"/>
      <color rgb="FF9966FF"/>
      <color rgb="FFFF9900"/>
      <color rgb="FFFFCCFF"/>
      <color rgb="FFFFFFCC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Fires not Out" id="{B19E9B5F-9755-46F1-A4B6-F8DDDC2B2421}">
    <nsvFilter filterId="{B8903F9B-3745-4FE5-BD07-970FDD456F9A}" ref="A2:AG157" tableId="1"/>
  </namedSheetView>
</namedSheetView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267B364-D6D4-47BF-BB38-B89B60D7C69E}" autoFormatId="16" applyNumberFormats="0" applyBorderFormats="0" applyFontFormats="0" applyPatternFormats="0" applyAlignmentFormats="0" applyWidthHeightFormats="0">
  <queryTableRefresh nextId="13">
    <queryTableFields count="12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</queryTableFields>
  </queryTableRefresh>
</queryTable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2AC44C0-F185-4BA7-B026-7C63C581C99E}" name="Table17" displayName="Table17" ref="A9:Y15" totalsRowShown="0" headerRowDxfId="273">
  <tableColumns count="25">
    <tableColumn id="21" xr3:uid="{0841C771-A6DD-474C-9E08-75BD09131271}" name="LNF SO #" dataDxfId="272"/>
    <tableColumn id="1" xr3:uid="{B7569FA5-05B6-42D1-9209-52DABCED61D1}" name="Sub- District" dataDxfId="271"/>
    <tableColumn id="20" xr3:uid="{0AF8D85B-3180-44DF-B184-2D3B61406644}" name="Dist _x000a_Fire _x000a_#" dataDxfId="270"/>
    <tableColumn id="6" xr3:uid="{19E5FDFA-6F00-48F3-8347-5D269517F00A}" name="Discover Date" dataDxfId="269"/>
    <tableColumn id="2" xr3:uid="{455C363F-B2F3-4CA0-B037-A5572520515A}" name="Fire Name" dataDxfId="268"/>
    <tableColumn id="3" xr3:uid="{CD83C061-B151-4D88-AFBA-9E101BBBFE54}" name="Incident #" dataDxfId="267"/>
    <tableColumn id="4" xr3:uid="{3018ADE1-4F7D-47CC-9740-2FEA089DAF74}" name="Wilderness?" dataDxfId="266"/>
    <tableColumn id="5" xr3:uid="{71B72BAC-D8A4-4540-91D9-0A3F7DFC3109}" name="INITIAL OWNER" dataDxfId="265"/>
    <tableColumn id="9" xr3:uid="{F229BA5A-5A17-4C6E-A51C-474913363052}" name="LNF_x000a_PROTECTION_x000a_(Total Acres)" dataDxfId="264" dataCellStyle="Comma"/>
    <tableColumn id="10" xr3:uid="{B496DEC9-B10E-4ED9-A7C5-308470BB9921}" name="LNF_x000a_OWNER_x000a_Acres" dataDxfId="263" dataCellStyle="Comma"/>
    <tableColumn id="12" xr3:uid="{15CC326F-D3F9-482A-930E-62B19778F87E}" name="SWS_x000a_OWNER_x000a_Acres" dataDxfId="262" dataCellStyle="Comma"/>
    <tableColumn id="13" xr3:uid="{D1996ABA-66BA-43FA-9458-C97E7013761A}" name="MFD_x000a_OWNER_x000a_Acres" dataDxfId="261" dataCellStyle="Comma"/>
    <tableColumn id="11" xr3:uid="{4D2D215C-B9E5-46C5-80D0-AD865F611105}" name="County_x000a_OWNER" dataDxfId="260"/>
    <tableColumn id="23" xr3:uid="{60528C37-E250-4D08-9F3A-23CEBD796432}" name="County_x000a_ACRES" dataDxfId="259" dataCellStyle="Comma"/>
    <tableColumn id="25" xr3:uid="{385D519D-CA05-4850-8265-78B1B5841A82}" name="FHA_x000a_OWNER_x000a_Acres" dataDxfId="258" dataCellStyle="Comma"/>
    <tableColumn id="22" xr3:uid="{7C53C352-0B4E-4896-9327-5E0483C104F9}" name="Other _x000a_OWNER (1)" dataDxfId="257"/>
    <tableColumn id="24" xr3:uid="{321850BE-62CC-4566-959F-4EB56C4A1EDC}" name="Other _x000a_ACRES (1)" dataDxfId="256" dataCellStyle="Comma"/>
    <tableColumn id="8" xr3:uid="{1302ADEB-CEBE-4CD2-85DD-E92E209548F8}" name="Other _x000a_OWNER (2)" dataDxfId="255"/>
    <tableColumn id="7" xr3:uid="{49716334-E79F-4B30-B374-81B9BEC66991}" name="Other _x000a_ACRES (2)" dataDxfId="254" dataCellStyle="Comma"/>
    <tableColumn id="14" xr3:uid="{E4269FBB-4583-4252-8D96-74D0B8C4197A}" name="Size Class" dataDxfId="253"/>
    <tableColumn id="15" xr3:uid="{A983AAA7-8A70-4FEA-BA4F-D6729715A62D}" name="Cmplx" dataDxfId="252"/>
    <tableColumn id="16" xr3:uid="{88B1CC64-C99E-43F2-9E05-C6A763CFD1A7}" name="Cause" dataDxfId="251"/>
    <tableColumn id="17" xr3:uid="{C6F42DBE-26BA-4E64-A0E6-977D304ECAE8}" name="Status" dataDxfId="250"/>
    <tableColumn id="18" xr3:uid="{F284D934-622E-4C04-AA93-5D3E717FF7DC}" name="Out Date" dataDxfId="249"/>
    <tableColumn id="19" xr3:uid="{0E32C72D-69ED-4C72-A7D1-732AB8D1D604}" name="Fiscal Code(s)" dataDxfId="248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8CBA865-CA49-46A1-82EB-264F35BEFDD2}" name="Table8" displayName="Table8" ref="A17:Y18" totalsRowShown="0" headerRowDxfId="247" headerRowBorderDxfId="246" tableBorderDxfId="245">
  <tableColumns count="25">
    <tableColumn id="1" xr3:uid="{0171F162-03D5-4F4F-9858-35F1CDFD88CF}" name="SWS #" dataDxfId="244"/>
    <tableColumn id="2" xr3:uid="{1BF95ACD-A209-4E89-9142-83D7CDEDF68B}" name="Sub- Unit" dataDxfId="243"/>
    <tableColumn id="3" xr3:uid="{C34965A8-CC6D-42A4-8C09-D12DD13A64C6}" name="Sub-Unit Fire #" dataDxfId="242"/>
    <tableColumn id="20" xr3:uid="{2835B2AF-4862-4CC6-AEA5-6F452090A4D5}" name="Discover Date" dataDxfId="241"/>
    <tableColumn id="4" xr3:uid="{D23BC15D-828B-414A-B0D9-BDD3E37275C2}" name="Fire Name" dataDxfId="240"/>
    <tableColumn id="5" xr3:uid="{04F6E728-3331-4CFF-8BE6-C0DAA0C68DCE}" name="Incident #" dataDxfId="239"/>
    <tableColumn id="6" xr3:uid="{85D5B014-00B7-4204-A626-C650BD4E889C}" name="Wilderness?" dataDxfId="238"/>
    <tableColumn id="7" xr3:uid="{EDEAFFDE-2F48-42DC-89A4-EFA60601E393}" name="INITIAL OWNER" dataDxfId="237"/>
    <tableColumn id="8" xr3:uid="{2D245D5A-D405-4DCC-8ABF-098E42DC19AD}" name="SWS_x000a_PROTECTION_x000a_(Total Acres)" dataDxfId="236" dataCellStyle="Comma"/>
    <tableColumn id="10" xr3:uid="{7A55724E-6350-4BA6-89A1-72870E3DF511}" name="SWS_x000a_OWNER_x000a_Acres" dataDxfId="235" dataCellStyle="Comma"/>
    <tableColumn id="11" xr3:uid="{DCEB4AA4-218F-4E2F-A711-75C7D4D0BFC6}" name="LNF_x000a_OWNER_x000a_Acres" dataDxfId="234" dataCellStyle="Comma"/>
    <tableColumn id="12" xr3:uid="{D12A7F4C-E9FC-46EC-B10C-503B02EAE8D7}" name="MFD_x000a_OWNER_x000a_Acres" dataDxfId="233" dataCellStyle="Comma"/>
    <tableColumn id="13" xr3:uid="{74A2E4E4-DD08-49F2-B80E-CFD315CF82BF}" name="County_x000a_OWNER" dataDxfId="232"/>
    <tableColumn id="22" xr3:uid="{43C829AB-EDD9-4ADA-8902-B2EEA7C1F723}" name="County_x000a_OWNER_x000a_Acres" dataDxfId="231" dataCellStyle="Comma"/>
    <tableColumn id="25" xr3:uid="{817BB709-E9F4-4E3A-9990-7A3A95571970}" name="FHA_x000a_OWNER_x000a_Acres" dataDxfId="230" dataCellStyle="Comma"/>
    <tableColumn id="24" xr3:uid="{01315A18-3107-4140-91E3-EA0D8FF5AA44}" name="Other _x000a_OWNER (1)" dataDxfId="229"/>
    <tableColumn id="9" xr3:uid="{3005A671-05E5-4FD2-9699-93125EC9CA3E}" name="Other _x000a_ACRES (1)" dataDxfId="228" dataCellStyle="Comma"/>
    <tableColumn id="21" xr3:uid="{55C48E46-63B0-4742-8EDC-06035D196236}" name="Other _x000a_OWNER (2)" dataDxfId="227"/>
    <tableColumn id="14" xr3:uid="{B07EAB00-0218-409C-89DD-82E70DCEEC6A}" name="Other _x000a_ACRES (2)" dataDxfId="226" dataCellStyle="Comma"/>
    <tableColumn id="15" xr3:uid="{ED1BE9F4-13A9-4976-B6EC-28D145C14570}" name="Size Class" dataDxfId="225"/>
    <tableColumn id="16" xr3:uid="{6199B4DF-AEFE-487A-9C4A-CCA51C217498}" name="Cmplx" dataDxfId="224"/>
    <tableColumn id="17" xr3:uid="{16824BF8-9825-4260-8537-4306F3A5577F}" name="Cause" dataDxfId="223"/>
    <tableColumn id="18" xr3:uid="{118AB794-A9FA-41A8-89BE-5F2DC6627E06}" name="Status" dataDxfId="222"/>
    <tableColumn id="19" xr3:uid="{46C80A31-49F0-4B84-8FFC-8B0878C09D59}" name="Out Date" dataDxfId="221"/>
    <tableColumn id="23" xr3:uid="{803BA431-B7D7-49E4-AF2F-C1FD00C52BDD}" name="Fiscal Code(s)" dataDxfId="220"/>
  </tableColumns>
  <tableStyleInfo name="TableStyleMedium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D8E87F-76A2-4E93-BD56-5FF488BD8921}" name="Table1" displayName="Table1" ref="A2:AG157" totalsRowShown="0" headerRowDxfId="189" dataDxfId="187" headerRowBorderDxfId="188">
  <autoFilter ref="A2:AG157" xr:uid="{B8903F9B-3745-4FE5-BD07-970FDD456F9A}"/>
  <sortState xmlns:xlrd2="http://schemas.microsoft.com/office/spreadsheetml/2017/richdata2" ref="A3:AG157">
    <sortCondition ref="A2:A157"/>
  </sortState>
  <tableColumns count="33">
    <tableColumn id="1" xr3:uid="{A3EBBD28-B87E-4DA6-85BE-F5C429DB2AF1}" name="LNF SO #" dataDxfId="186"/>
    <tableColumn id="29" xr3:uid="{2DE3AEA1-3868-4995-99B1-66F6DFDE5863}" name="Sub- District" dataDxfId="185"/>
    <tableColumn id="2" xr3:uid="{8B383D4F-D3E9-44FF-A975-F482BCBCDA7E}" name="Dist Fire #" dataDxfId="184"/>
    <tableColumn id="4" xr3:uid="{43E5F8A2-050D-407D-B988-EA6FF1480395}" name="Discover Date" dataDxfId="183"/>
    <tableColumn id="5" xr3:uid="{88EDB599-018F-49C9-9FDE-0C5035F6A9E0}" name="Fire Name" dataDxfId="182"/>
    <tableColumn id="6" xr3:uid="{22EE65E1-9971-4084-906B-B217696C7D0E}" name="Incident #" dataDxfId="181"/>
    <tableColumn id="7" xr3:uid="{27889678-9BBB-491B-9AD7-03317526656B}" name="Wilderness?" dataDxfId="180"/>
    <tableColumn id="26" xr3:uid="{A4D74EDB-474B-4108-A5C1-4C5A2BE1CD42}" name="INITIAL OWNER" dataDxfId="179"/>
    <tableColumn id="11" xr3:uid="{47B15D5C-2773-4B74-A504-C4FE57BD0ADC}" name="LNF_x000a_PROTECTION_x000a_Acres_x000a_(Total Acres)" dataDxfId="178"/>
    <tableColumn id="12" xr3:uid="{5C0058F2-2EAA-46A4-A363-4C3C77039501}" name="LNF_x000a_OWNER_x000a_Acres" dataDxfId="177"/>
    <tableColumn id="13" xr3:uid="{79543D15-FD91-4889-BF45-BAEE70475A2C}" name="SWS_x000a_OWNER_x000a_Acres" dataDxfId="176"/>
    <tableColumn id="14" xr3:uid="{9B3223CB-A8BA-40CE-8677-CF715D26FB92}" name="MFD_x000a_OWNER_x000a_Acres" dataDxfId="175"/>
    <tableColumn id="3" xr3:uid="{A10AAB2A-A4AD-429D-9243-829DD3693D70}" name="County_x000a_OWNER" dataDxfId="174"/>
    <tableColumn id="15" xr3:uid="{3AE0F6D8-7F37-44FD-BF0C-74B9CB12F223}" name="County_x000a_ACRES" dataDxfId="173"/>
    <tableColumn id="33" xr3:uid="{23E6CF3B-9924-4588-B8B2-559D8B1AB2DB}" name="FHA _x000a_Acres" dataDxfId="172"/>
    <tableColumn id="9" xr3:uid="{9A6709EB-A0F3-42E7-B220-28B4E5AB1094}" name="Other _x000a_OWNER _x000a_(1)" dataDxfId="171"/>
    <tableColumn id="28" xr3:uid="{7B188C4A-6EEE-4B17-AF9D-E9A8856DE835}" name="Other _x000a_ACRES _x000a_(1)" dataDxfId="170"/>
    <tableColumn id="25" xr3:uid="{929A6DFB-2AF9-42B6-BD50-7497EC15BAC3}" name="Other _x000a_OWNER _x000a_(2)" dataDxfId="169"/>
    <tableColumn id="10" xr3:uid="{9D0880F9-3B25-4937-A345-E1B74201F721}" name="Other _x000a_ACRES _x000a_(2)" dataDxfId="168"/>
    <tableColumn id="16" xr3:uid="{26E7DC1C-8FA9-47C6-A82C-44EEF377ABA9}" name="Size Class" dataDxfId="167"/>
    <tableColumn id="17" xr3:uid="{4963C128-F493-40E8-881A-B6DF314C92C6}" name="Cmplx" dataDxfId="166"/>
    <tableColumn id="18" xr3:uid="{46059BFE-3153-489A-A407-E67CE014BF55}" name="Cause" dataDxfId="165"/>
    <tableColumn id="19" xr3:uid="{90BCCB8C-D741-40AB-93DF-A3BE5BF7E9F6}" name="Status" dataDxfId="164"/>
    <tableColumn id="20" xr3:uid="{3565517D-D20A-4709-B672-4F71DC39978F}" name="Out Date" dataDxfId="163"/>
    <tableColumn id="21" xr3:uid="{111BB0B9-1371-4B14-B546-B20E05909C91}" name="Fiscal Code(s)" dataDxfId="162"/>
    <tableColumn id="32" xr3:uid="{D04CA69A-8C84-4A3D-8097-AD7C2B5B9590}" name="DNRC Fiscal Code Generated?_x000a_(Date &amp; Initials)" dataDxfId="161"/>
    <tableColumn id="22" xr3:uid="{648BB715-35D1-49EC-BB36-D3ED9226FE0F}" name="Will fire be counted_x000a_for SIT?" dataDxfId="160"/>
    <tableColumn id="23" xr3:uid="{6A71E2F7-8B0F-4FB2-923F-F68AF8C625CB}" name="SIT Entered?_x000a_" dataDxfId="159"/>
    <tableColumn id="31" xr3:uid="{74722DD7-F62A-4A28-B695-E432D7893633}" name="Additional growth (acres)?_x000a_See Comment" dataDxfId="158"/>
    <tableColumn id="8" xr3:uid="{0FFD3A21-B156-4AD9-9732-6D6FB7CEE58C}" name="Has new acreage been dd to the SIT, CAD, and YTD?" dataDxfId="157"/>
    <tableColumn id="30" xr3:uid="{4C9E5CF8-17E2-4CCD-8E30-98756A776E82}" name="SIT Comments?_x000a_Include when YTD stats were updated in the SIT." dataDxfId="156"/>
    <tableColumn id="24" xr3:uid="{82FAADA5-BA3B-438E-A68A-7B6B934F3818}" name="Incident Close - eFiles Complete_x000a_(Date &amp; Initials)" dataDxfId="155"/>
    <tableColumn id="27" xr3:uid="{71059AA3-4871-4CC4-9C61-49D7CAD1038D}" name="inFORM Certified?" dataDxfId="15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945417-E974-4931-8E41-9086CC40EFA9}" name="Table2" displayName="Table2" ref="A2:AG152" totalsRowShown="0" headerRowDxfId="137" dataDxfId="135" headerRowBorderDxfId="136" tableBorderDxfId="134">
  <autoFilter ref="A2:AG152" xr:uid="{A8DFF83F-3F2C-4B62-B771-F168B2CC9D67}"/>
  <sortState xmlns:xlrd2="http://schemas.microsoft.com/office/spreadsheetml/2017/richdata2" ref="A3:AG152">
    <sortCondition ref="A2:A152"/>
  </sortState>
  <tableColumns count="33">
    <tableColumn id="1" xr3:uid="{8EE3046D-68A0-4AA1-87A7-CF5F9A982DFB}" name="SWS #" dataDxfId="133"/>
    <tableColumn id="28" xr3:uid="{D26547CC-E805-4E1B-B0C1-E35B72F2E696}" name="Sub- Unit" dataDxfId="132"/>
    <tableColumn id="2" xr3:uid="{757B010B-3C1C-4024-8A61-D12DAB264B28}" name="Sub-Unit Fire #" dataDxfId="131"/>
    <tableColumn id="4" xr3:uid="{0B908E51-4019-4DBC-B575-3234DF2F14ED}" name="Discover Date" dataDxfId="130"/>
    <tableColumn id="5" xr3:uid="{EBEE469D-52A1-4049-A6A3-1FF9749850C4}" name="Fire Name" dataDxfId="129"/>
    <tableColumn id="6" xr3:uid="{51D0F96C-04B3-4375-B7F6-889E3202C461}" name="Incident #" dataDxfId="128"/>
    <tableColumn id="26" xr3:uid="{2DE574DD-154A-4CEC-826D-10C5A6180554}" name="Wilderness?" dataDxfId="127"/>
    <tableColumn id="25" xr3:uid="{0A946975-4336-45A9-9455-6DF89AD972DC}" name="INITIAL OWNER" dataDxfId="126"/>
    <tableColumn id="10" xr3:uid="{38C9FE04-4DD8-45CF-9CBD-C69782D7B035}" name="SWS_x000a_PROTECTION_x000a_Acres_x000a_(Total Acres)" dataDxfId="125"/>
    <tableColumn id="11" xr3:uid="{51D0F722-A4C6-488F-87D8-8BFFB67C9B59}" name="SWS_x000a_OWNER_x000a_Acres" dataDxfId="124"/>
    <tableColumn id="12" xr3:uid="{45D518B6-EE68-4201-8213-50A7802798A6}" name="LNF_x000a_OWNER_x000a_Acres" dataDxfId="123"/>
    <tableColumn id="13" xr3:uid="{15B520F7-0279-46EA-9575-410006C40D4C}" name="MFD_x000a_OWNER_x000a_Acres" dataDxfId="122"/>
    <tableColumn id="3" xr3:uid="{652CA265-79B6-4E9E-9F21-9679C2283B05}" name="County_x000a_OWNER" dataDxfId="121"/>
    <tableColumn id="14" xr3:uid="{7AAA653A-F5F1-4D89-B897-3143B74994D8}" name="County_x000a_OWNER_x000a_Acres" dataDxfId="120"/>
    <tableColumn id="33" xr3:uid="{14E4A5E7-9B39-4A68-B43A-C69EA4B4493D}" name="FHA _x000a_Acres" dataDxfId="119"/>
    <tableColumn id="8" xr3:uid="{5DB49BB7-B580-4413-BD79-1D5324077A90}" name="Other _x000a_OWNER _x000a_(1)" dataDxfId="118"/>
    <tableColumn id="29" xr3:uid="{DA4EBC55-AB25-4826-87B7-0909955CF7E5}" name="Other _x000a_ACRES _x000a_(1)" dataDxfId="117"/>
    <tableColumn id="24" xr3:uid="{000FFE56-6C4A-477B-B304-A5310F93B1A3}" name="Other _x000a_OWNER _x000a_(2)" dataDxfId="116"/>
    <tableColumn id="7" xr3:uid="{5EA081CC-8C82-402E-AF68-CE95B2916D97}" name="Other _x000a_ACRES _x000a_(2)" dataDxfId="115"/>
    <tableColumn id="15" xr3:uid="{FC37FCDF-3062-4501-B3FB-1B91FDD25E03}" name="Size Class" dataDxfId="114">
      <calculatedColumnFormula>IF($I3&lt;=0, " ",IF($I3&lt;=0.25, "A",IF($I3&lt;10, "B",IF($I3&lt;100, "C", IF($I3&lt;300, "D",IF($I3&lt;1000, "E",IF($I3&lt;5000,"F",IF($I3&gt;=5000, "G"))))))))</calculatedColumnFormula>
    </tableColumn>
    <tableColumn id="16" xr3:uid="{9450CF29-10D6-42F4-A8A3-AF05D41859D4}" name="Cmplx" dataDxfId="113"/>
    <tableColumn id="17" xr3:uid="{6E0C0E23-1F71-4DB0-818B-0681C671BC5E}" name="Cause" dataDxfId="112"/>
    <tableColumn id="18" xr3:uid="{E6255F38-23CE-4BAE-A3E2-6732A5CA956B}" name="Status" dataDxfId="111"/>
    <tableColumn id="19" xr3:uid="{6B7B25B9-D743-4C6D-B08A-3A1004E28577}" name="Out Date" dataDxfId="110"/>
    <tableColumn id="20" xr3:uid="{A8B47650-0E83-4362-8D56-1B319DD2F033}" name="Fiscal Code(s)" dataDxfId="109"/>
    <tableColumn id="30" xr3:uid="{6FF89A66-E91B-42BE-8615-957F425A582D}" name="DNRC Fiscal Code Generated?_x000a_(Date &amp; Initials)" dataDxfId="108"/>
    <tableColumn id="21" xr3:uid="{28562158-3CD8-4E16-877B-EF1C107EAF6D}" name="Will fire be counted_x000a_for SIT?" dataDxfId="107"/>
    <tableColumn id="22" xr3:uid="{0C0D32AA-9943-4F40-9A1D-3F09A88CF7F3}" name="SIT Entered?_x000a_" dataDxfId="106"/>
    <tableColumn id="32" xr3:uid="{9236A7AC-6A6E-47C8-80A2-8BC34C9883DE}" name="Additional growth (acres)?_x000a_See Comment" dataDxfId="105">
      <calculatedColumnFormula>T18</calculatedColumnFormula>
    </tableColumn>
    <tableColumn id="9" xr3:uid="{152EC630-25D1-4655-B8FE-0D6971E287B0}" name="Has new acreage been added to the SIT, CAD, and YTD?" dataDxfId="104"/>
    <tableColumn id="31" xr3:uid="{474DA385-5944-4D41-892D-91A5A7FEA264}" name="SIT Comments?_x000a_Include when YTD stats were updated in the SIT." dataDxfId="103"/>
    <tableColumn id="23" xr3:uid="{74EB08E3-D357-4219-8941-DF73F5EC071C}" name="Incident Close - eFiles Complete_x000a_(Date &amp; Initials)" dataDxfId="102"/>
    <tableColumn id="27" xr3:uid="{3E4B1459-236D-42FF-ACA2-F9B5F60E5B9D}" name="inFORM Certified?" dataDxfId="10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A7DF2A-8771-461B-81AD-42E8AE81D2D0}" name="Table3" displayName="Table3" ref="A2:AB147" totalsRowShown="0" headerRowDxfId="100" dataDxfId="98" headerRowBorderDxfId="99" tableBorderDxfId="97">
  <autoFilter ref="A2:AB147" xr:uid="{71A7DF2A-8771-461B-81AD-42E8AE81D2D0}"/>
  <tableColumns count="28">
    <tableColumn id="3" xr3:uid="{BC513E81-8B48-4531-91F9-90930B387A59}" name="Date" dataDxfId="96"/>
    <tableColumn id="4" xr3:uid="{2A7EE998-AA96-4984-9341-9F43BB667564}" name="Fire Name" dataDxfId="95"/>
    <tableColumn id="5" xr3:uid="{D895EE2F-F62C-4D60-B6E8-2AE322642C0E}" name="Incident #" dataDxfId="94"/>
    <tableColumn id="23" xr3:uid="{9E09F35F-4C1A-4242-A99F-54A64B23637B}" name="Initial Owner" dataDxfId="93"/>
    <tableColumn id="9" xr3:uid="{B6D7C15D-322C-43E7-94BE-CB1ED0F3AD36}" name="County _x000a_PROTECTION _x000a_Acres_x000a_(Total Acres)" dataDxfId="92"/>
    <tableColumn id="6" xr3:uid="{2C4E7B11-5035-4040-9E3B-43E7A0790C11}" name="County _x000a_OWNED_x000a_Acres" dataDxfId="91"/>
    <tableColumn id="8" xr3:uid="{6D6C66AE-5CF5-4B87-89B5-2FCAEBD9A27F}" name="Secondary County OWNER" dataDxfId="90"/>
    <tableColumn id="7" xr3:uid="{22DC73CE-5591-4A6D-9CDF-18C434C8BFB0}" name="Secondary County _x000a_OWNED _x000a_Acres" dataDxfId="89"/>
    <tableColumn id="11" xr3:uid="{DC8CD8B0-FD24-4D6B-AA9D-1C1EBE027085}" name="SWS_x000a_OWNED_x000a_Acres" dataDxfId="88"/>
    <tableColumn id="27" xr3:uid="{9FD73444-2BF0-4F4B-A010-533261650617}" name="LNF_x000a_OWNED_x000a_Acres" dataDxfId="87"/>
    <tableColumn id="25" xr3:uid="{A29CF4EB-B0C3-4914-90BA-B87B367C2970}" name="MFD_x000a_OWNED_x000a_Acres" dataDxfId="86"/>
    <tableColumn id="26" xr3:uid="{8494D6C5-9137-4147-8FFF-66CE01BF3C13}" name="FHA_x000a_OWNED_x000a_Acres" dataDxfId="85"/>
    <tableColumn id="22" xr3:uid="{1928A721-CD17-4145-BE75-BF9FA1DAB494}" name="Other OWNER" dataDxfId="84"/>
    <tableColumn id="10" xr3:uid="{6F74814A-09E5-49B9-90C0-80F561FFDFAB}" name="Other ACRES" dataDxfId="83"/>
    <tableColumn id="12" xr3:uid="{C317D8AD-AF03-4529-9A35-2F86B7A01707}" name="Size_x000a_Class" dataDxfId="82">
      <calculatedColumnFormula>IF($E3&lt;=0, " ",IF($E3&lt;=0.25, "A",IF($E3&lt;10, "B",IF($E3&lt;100, "C", IF($E3&lt;300, "D",IF($E3&lt;1000, "E",IF($E3&lt;5000,"F",IF($E3&gt;=5000, "G"))))))))</calculatedColumnFormula>
    </tableColumn>
    <tableColumn id="13" xr3:uid="{9B17DA8D-FF28-4881-97E1-746866736A41}" name="Cmplx" dataDxfId="81"/>
    <tableColumn id="14" xr3:uid="{C0872E69-1C31-4230-8A5A-DFA195C05C69}" name="Cause" dataDxfId="80"/>
    <tableColumn id="15" xr3:uid="{0FF036B4-8C16-4B0A-A1BB-64761A40553B}" name="Status" dataDxfId="79"/>
    <tableColumn id="16" xr3:uid="{D30483D9-EE69-4CFC-B0BB-D376372E236C}" name="Out Date" dataDxfId="78"/>
    <tableColumn id="17" xr3:uid="{9313B9EA-FEBE-42E2-BBA8-E44B32066789}" name="Fiscal Code(s)" dataDxfId="77"/>
    <tableColumn id="28" xr3:uid="{C3DA0156-F5E7-42A8-A6AE-8D85D97172F7}" name="DNRC Fiscal Code Generated?_x000a_(Date &amp; Initials)" dataDxfId="76"/>
    <tableColumn id="18" xr3:uid="{2FA55E41-9137-43C2-A387-D799421BFF69}" name="Will fire be counted_x000a_for SIT?" dataDxfId="75"/>
    <tableColumn id="19" xr3:uid="{ADCBF828-184F-40E8-8537-7568612E06C8}" name="SIT Entered?_x000a_" dataDxfId="74"/>
    <tableColumn id="29" xr3:uid="{A6420B3F-DD7C-40F7-8254-FA09F929E9AD}" name="Additional growth (acres)?_x000a_See Comment" dataDxfId="73"/>
    <tableColumn id="1" xr3:uid="{C4955975-05AE-4BF0-8268-1F31D45D7834}" name="Has new acreage been dd to the SIT, CAD, and YTD?" dataDxfId="72"/>
    <tableColumn id="21" xr3:uid="{8E2233A0-506A-44C8-A0AC-64D42FDAFBDA}" name="SIT Comments?_x000a_Include when YTD stats were updated in the SIT." dataDxfId="71"/>
    <tableColumn id="20" xr3:uid="{59C1D2B9-C32C-4498-9555-8ED5651F83B1}" name="Incident Close - eFiles Complete_x000a_(Date &amp; Initials)" dataDxfId="70"/>
    <tableColumn id="24" xr3:uid="{10516AC1-4E3E-4152-BE19-24B336053892}" name="inFORM Certified?" dataDxfId="6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3EFC16-419A-4CA0-97E1-A10010BEEDB0}" name="Table4" displayName="Table4" ref="A3:Z144" totalsRowShown="0" headerRowDxfId="68" dataDxfId="67" tableBorderDxfId="66">
  <autoFilter ref="A3:Z144" xr:uid="{C03EFC16-419A-4CA0-97E1-A10010BEEDB0}"/>
  <sortState xmlns:xlrd2="http://schemas.microsoft.com/office/spreadsheetml/2017/richdata2" ref="A4:Z144">
    <sortCondition ref="D3:D144"/>
  </sortState>
  <tableColumns count="26">
    <tableColumn id="2" xr3:uid="{4FB22194-E1B0-4FA8-B322-8B4C631E40C9}" name="RX Name" dataDxfId="65"/>
    <tableColumn id="31" xr3:uid="{0C9E9139-43F7-459C-8D38-13F4089FAC05}" name="New RX?" dataDxfId="64"/>
    <tableColumn id="18" xr3:uid="{B75AA81C-D9C4-419C-A266-323C8BEA4613}" name="RX Unit(s) Name" dataDxfId="63"/>
    <tableColumn id="3" xr3:uid="{2DBD1FFA-29E8-48E4-8C39-E6986CB51A4C}" name="Incident #" dataDxfId="62"/>
    <tableColumn id="1" xr3:uid="{9B2B30CB-C140-4902-BCC3-48F9756BB2FC}" name="Unit" dataDxfId="61"/>
    <tableColumn id="5" xr3:uid="{E7886A76-BE3E-48B6-BAB1-E7B39DCF821A}" name="Sub-Unit / District " dataDxfId="60"/>
    <tableColumn id="14" xr3:uid="{395BE1AC-06F3-4AC8-91BB-7B8B46E3C0D9}" name="Complexity" dataDxfId="59"/>
    <tableColumn id="29" xr3:uid="{23B462A1-B1F2-44C0-98F9-D9D7534A7FEC}" name="Initial _x000a_Firing _x000a_Day" dataDxfId="58"/>
    <tableColumn id="28" xr3:uid="{CCE9C6F1-57B8-44DC-9E21-1AE46FE52210}" name="Initial Acres" dataDxfId="57"/>
    <tableColumn id="27" xr3:uid="{C7B62285-D40E-4B1D-BD6D-75D8CB48AE02}" name="Day 2" dataDxfId="56"/>
    <tableColumn id="26" xr3:uid="{C0E0D9A6-8BB8-4FA5-B037-3D4D7066BC01}" name="Day 2 _x000a_Acres" dataDxfId="55"/>
    <tableColumn id="25" xr3:uid="{7B627D32-009E-49E4-9198-82FCD3A05F42}" name="Day 3" dataDxfId="54"/>
    <tableColumn id="24" xr3:uid="{72434E25-792E-4BA5-ADAD-45A917AF8013}" name="Day 3_x000a_Acres" dataDxfId="53"/>
    <tableColumn id="23" xr3:uid="{4BB99B5E-E16A-4109-91F1-7F0D4CBCD4AC}" name="Day 4" dataDxfId="52"/>
    <tableColumn id="22" xr3:uid="{2BE56B1C-CFC0-43EB-8925-7A49BE93ADBD}" name="Day 4_x000a_Acres" dataDxfId="51"/>
    <tableColumn id="21" xr3:uid="{EF49AF8B-2F65-4D3F-A5D8-6FB0668FC679}" name="Day 5" dataDxfId="50"/>
    <tableColumn id="20" xr3:uid="{0EE09B6D-82E1-44CB-AA58-F542288E7565}" name="Day 5 _x000a_Acres" dataDxfId="49"/>
    <tableColumn id="6" xr3:uid="{2C53BDC1-F103-4E28-93E8-BB2084582591}" name="Total_x000a_Acres" dataDxfId="48">
      <calculatedColumnFormula>Table4[[#This Row],[Initial Acres]]+Table4[[#This Row],[Day 2 
Acres]]+Table4[[#This Row],[Day 3
Acres]]+Table4[[#This Row],[Day 4
Acres]]+Table4[[#This Row],[Day 5 
Acres]]</calculatedColumnFormula>
    </tableColumn>
    <tableColumn id="7" xr3:uid="{DC1AD987-405B-48F2-BB06-E406E54D4302}" name="Size Class" dataDxfId="47">
      <calculatedColumnFormula>IF($R4&lt;=0, " ",IF($R4&lt;=0.25, "A",IF($R4&lt;10, "B",IF($R4&lt;100, "C", IF($R4&lt;300, "D",IF($R4&lt;1000, "E",IF($R4&lt;5000,"F",IF($R4&gt;=5000, "G"))))))))</calculatedColumnFormula>
    </tableColumn>
    <tableColumn id="8" xr3:uid="{4E2DE076-79AB-4272-B51F-985CE1F69749}" name="Unit Type" dataDxfId="46"/>
    <tableColumn id="9" xr3:uid="{23B58BBC-60B5-40D1-9FDD-A15647290371}" name="Ignition Type" dataDxfId="45"/>
    <tableColumn id="13" xr3:uid="{9FF51375-307E-4C3F-8B9D-1C6FE2DCF4CD}" name="Status" dataDxfId="44"/>
    <tableColumn id="15" xr3:uid="{8D8F3C37-B181-4800-8733-DE35155C5FA6}" name="Will fire be counted to_x000a_SIT?" dataDxfId="43"/>
    <tableColumn id="4" xr3:uid="{0ED8E60F-B885-4AED-BB82-BFB9B27C74FE}" name="SIT Entered?" dataDxfId="42"/>
    <tableColumn id="10" xr3:uid="{F03112A2-8CD2-4CEF-A5F7-E00BB91EF59E}" name="Additional growth (acres)?_x000a_See Comment" dataDxfId="41"/>
    <tableColumn id="12" xr3:uid="{84227CBB-5F17-493E-9224-DE6001F5A642}" name="SIT Comments?_x000a_Include when YTD stats were updated in the SIT." dataDxfId="40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83CE1E-7756-4998-915B-25F01188C49B}" name="Table_0" displayName="Table_0" ref="A1:L144" tableType="queryTable" totalsRowShown="0">
  <autoFilter ref="A1:L144" xr:uid="{F983CE1E-7756-4998-915B-25F01188C49B}"/>
  <tableColumns count="12">
    <tableColumn id="1" xr3:uid="{1445F3CE-B0AA-4099-B7DF-9FCD57265B88}" uniqueName="1" name="Column1" queryTableFieldId="1" dataDxfId="39"/>
    <tableColumn id="2" xr3:uid="{3C37985F-49BD-45CB-9A58-7A0641110347}" uniqueName="2" name="Column2" queryTableFieldId="2" dataDxfId="38"/>
    <tableColumn id="3" xr3:uid="{253CB52C-63B4-497E-AD34-BAD1B7AE0F23}" uniqueName="3" name="Column3" queryTableFieldId="3" dataDxfId="37"/>
    <tableColumn id="4" xr3:uid="{BFFCBA49-1C4A-4892-B0A3-015F9B330B43}" uniqueName="4" name="Column4" queryTableFieldId="4" dataDxfId="36"/>
    <tableColumn id="5" xr3:uid="{3658F7C9-F20E-437D-B09B-F75604A36562}" uniqueName="5" name="Column5" queryTableFieldId="5" dataDxfId="35"/>
    <tableColumn id="6" xr3:uid="{E74FB854-289C-4A62-96A4-0DBDABE7C4EB}" uniqueName="6" name="Column6" queryTableFieldId="6" dataDxfId="34"/>
    <tableColumn id="7" xr3:uid="{31E11A80-9DBE-468D-88FB-5462866CA76E}" uniqueName="7" name="Column7" queryTableFieldId="7" dataDxfId="33"/>
    <tableColumn id="8" xr3:uid="{13CD9238-B9AD-43BB-8EBB-EE0EA9425A65}" uniqueName="8" name="Column8" queryTableFieldId="8" dataDxfId="32"/>
    <tableColumn id="9" xr3:uid="{9A9ABFB5-5048-43F1-8A36-4ABE395468B8}" uniqueName="9" name="Column9" queryTableFieldId="9" dataDxfId="31"/>
    <tableColumn id="10" xr3:uid="{DC429773-C7A7-4C21-BE0F-7A1CEFF4AA25}" uniqueName="10" name="Column10" queryTableFieldId="10" dataDxfId="30"/>
    <tableColumn id="11" xr3:uid="{A26B62DF-C577-44F8-A322-77B32F3D78C9}" uniqueName="11" name="Column11" queryTableFieldId="11" dataDxfId="29"/>
    <tableColumn id="12" xr3:uid="{9BD1D04F-4947-4605-BDBB-476FEE846CA9}" uniqueName="12" name="Column12" queryTableFieldId="12" dataDxfId="2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fas.net/prototypes/lnf/curr_index_jqm.html" TargetMode="External"/><Relationship Id="rId1" Type="http://schemas.openxmlformats.org/officeDocument/2006/relationships/hyperlink" Target="http://www.wildcad.net/WCMT-MDC.htm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BAA95-B943-4D76-9BBD-2056969DC25D}">
  <sheetPr>
    <pageSetUpPr fitToPage="1"/>
  </sheetPr>
  <dimension ref="A1:Z38"/>
  <sheetViews>
    <sheetView zoomScale="70" zoomScaleNormal="70" zoomScalePageLayoutView="55" workbookViewId="0">
      <selection activeCell="K49" sqref="K49"/>
    </sheetView>
  </sheetViews>
  <sheetFormatPr defaultColWidth="8.54296875" defaultRowHeight="12.5" x14ac:dyDescent="0.25"/>
  <cols>
    <col min="1" max="1" width="8.453125" style="6" customWidth="1"/>
    <col min="2" max="2" width="15" style="6" customWidth="1"/>
    <col min="3" max="3" width="10.81640625" style="6" customWidth="1"/>
    <col min="4" max="4" width="14" style="6" customWidth="1"/>
    <col min="5" max="5" width="20.7265625" style="6" customWidth="1"/>
    <col min="6" max="6" width="13.54296875" style="6" customWidth="1"/>
    <col min="7" max="7" width="16.1796875" style="6" customWidth="1"/>
    <col min="8" max="8" width="22.7265625" style="6" customWidth="1"/>
    <col min="9" max="9" width="18.26953125" style="6" customWidth="1"/>
    <col min="10" max="10" width="13.81640625" style="6" customWidth="1"/>
    <col min="11" max="11" width="16.81640625" style="6" customWidth="1"/>
    <col min="12" max="12" width="19.1796875" style="6" customWidth="1"/>
    <col min="13" max="13" width="27.453125" style="6" customWidth="1"/>
    <col min="14" max="14" width="12.7265625" style="6" customWidth="1"/>
    <col min="15" max="15" width="26.54296875" style="6" customWidth="1"/>
    <col min="16" max="16" width="17.7265625" style="6" customWidth="1"/>
    <col min="17" max="17" width="22.7265625" style="6" customWidth="1"/>
    <col min="18" max="18" width="13.81640625" style="6" customWidth="1"/>
    <col min="19" max="19" width="14.453125" style="6" customWidth="1"/>
    <col min="20" max="20" width="16" style="6" customWidth="1"/>
    <col min="21" max="21" width="11.54296875" style="6" bestFit="1" customWidth="1"/>
    <col min="22" max="22" width="8" style="6" bestFit="1" customWidth="1"/>
    <col min="23" max="23" width="16.81640625" style="6" customWidth="1"/>
    <col min="24" max="24" width="7.7265625" style="6" customWidth="1"/>
    <col min="25" max="25" width="21.7265625" style="6" bestFit="1" customWidth="1"/>
    <col min="26" max="26" width="12" style="6" customWidth="1"/>
    <col min="27" max="27" width="8.54296875" style="6"/>
    <col min="28" max="28" width="13.7265625" style="6" customWidth="1"/>
    <col min="29" max="29" width="14.54296875" style="6" customWidth="1"/>
    <col min="30" max="30" width="9.453125" style="6" customWidth="1"/>
    <col min="31" max="31" width="12.1796875" style="6" customWidth="1"/>
    <col min="32" max="32" width="14.1796875" style="6" customWidth="1"/>
    <col min="33" max="33" width="8.54296875" style="6"/>
    <col min="34" max="34" width="21" style="6" bestFit="1" customWidth="1"/>
    <col min="35" max="16384" width="8.54296875" style="6"/>
  </cols>
  <sheetData>
    <row r="1" spans="1:26" ht="13.5" thickBot="1" x14ac:dyDescent="0.3">
      <c r="A1" s="390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</row>
    <row r="2" spans="1:26" ht="21" customHeight="1" x14ac:dyDescent="0.25">
      <c r="C2" s="660" t="s">
        <v>0</v>
      </c>
      <c r="D2" s="660"/>
      <c r="E2" s="660"/>
      <c r="F2" s="660"/>
      <c r="G2" s="660"/>
      <c r="H2" s="672" t="s">
        <v>1</v>
      </c>
      <c r="I2" s="674">
        <v>45199</v>
      </c>
      <c r="J2" s="674"/>
      <c r="K2" s="674"/>
      <c r="L2" s="674"/>
      <c r="M2" s="641"/>
      <c r="N2" s="389"/>
      <c r="O2" s="668" t="s">
        <v>2</v>
      </c>
      <c r="P2" s="657">
        <v>1</v>
      </c>
      <c r="Q2" s="668" t="s">
        <v>3</v>
      </c>
      <c r="R2" s="670"/>
      <c r="S2" s="657">
        <v>1</v>
      </c>
      <c r="T2" s="668" t="s">
        <v>4</v>
      </c>
      <c r="U2" s="670"/>
      <c r="V2" s="656">
        <v>2</v>
      </c>
      <c r="W2" s="657"/>
    </row>
    <row r="3" spans="1:26" ht="21.75" customHeight="1" thickBot="1" x14ac:dyDescent="0.3">
      <c r="C3" s="660"/>
      <c r="D3" s="660"/>
      <c r="E3" s="660"/>
      <c r="F3" s="660"/>
      <c r="G3" s="660"/>
      <c r="H3" s="673"/>
      <c r="I3" s="674"/>
      <c r="J3" s="674"/>
      <c r="K3" s="674"/>
      <c r="L3" s="674"/>
      <c r="M3" s="641"/>
      <c r="N3" s="389"/>
      <c r="O3" s="669"/>
      <c r="P3" s="659"/>
      <c r="Q3" s="669"/>
      <c r="R3" s="671"/>
      <c r="S3" s="659"/>
      <c r="T3" s="669"/>
      <c r="U3" s="671"/>
      <c r="V3" s="658"/>
      <c r="W3" s="659"/>
    </row>
    <row r="4" spans="1:26" ht="13" thickBot="1" x14ac:dyDescent="0.3"/>
    <row r="5" spans="1:26" ht="29.25" customHeight="1" x14ac:dyDescent="0.25">
      <c r="C5" s="661" t="s">
        <v>5</v>
      </c>
      <c r="D5" s="662"/>
      <c r="E5" s="662"/>
      <c r="F5" s="662"/>
      <c r="G5" s="663"/>
      <c r="H5" s="428" t="s">
        <v>6</v>
      </c>
      <c r="I5" s="675" t="s">
        <v>7</v>
      </c>
      <c r="J5" s="676"/>
      <c r="K5" s="679" t="s">
        <v>6</v>
      </c>
      <c r="L5" s="680"/>
      <c r="M5" s="497"/>
      <c r="O5" s="664" t="s">
        <v>8</v>
      </c>
      <c r="P5" s="666" t="s">
        <v>9</v>
      </c>
      <c r="Q5" s="667"/>
      <c r="R5" s="650" t="s">
        <v>10</v>
      </c>
      <c r="S5" s="651"/>
      <c r="T5" s="652"/>
      <c r="U5" s="650" t="s">
        <v>11</v>
      </c>
      <c r="V5" s="651"/>
      <c r="W5" s="652"/>
    </row>
    <row r="6" spans="1:26" ht="29.25" customHeight="1" x14ac:dyDescent="0.25">
      <c r="A6" s="391"/>
      <c r="B6" s="391"/>
      <c r="C6" s="661" t="s">
        <v>12</v>
      </c>
      <c r="D6" s="662"/>
      <c r="E6" s="662"/>
      <c r="F6" s="662"/>
      <c r="G6" s="663"/>
      <c r="H6" s="429" t="s">
        <v>6</v>
      </c>
      <c r="I6" s="677" t="s">
        <v>13</v>
      </c>
      <c r="J6" s="678"/>
      <c r="K6" s="681" t="s">
        <v>6</v>
      </c>
      <c r="L6" s="682"/>
      <c r="M6" s="497"/>
      <c r="O6" s="665"/>
      <c r="P6" s="653" t="s">
        <v>14</v>
      </c>
      <c r="Q6" s="654"/>
      <c r="R6" s="653" t="s">
        <v>14</v>
      </c>
      <c r="S6" s="654"/>
      <c r="T6" s="655"/>
      <c r="U6" s="653" t="s">
        <v>14</v>
      </c>
      <c r="V6" s="654"/>
      <c r="W6" s="655"/>
    </row>
    <row r="7" spans="1:26" ht="18.5" x14ac:dyDescent="0.25">
      <c r="A7" s="378"/>
      <c r="B7" s="378"/>
      <c r="C7" s="378"/>
      <c r="D7" s="379"/>
      <c r="E7" s="379"/>
      <c r="F7" s="379"/>
      <c r="G7" s="379"/>
      <c r="H7" s="379"/>
      <c r="I7" s="379"/>
      <c r="J7" s="379"/>
      <c r="K7" s="379"/>
      <c r="L7" s="380"/>
      <c r="M7" s="381"/>
      <c r="N7" s="382"/>
      <c r="O7" s="290"/>
      <c r="P7" s="290"/>
      <c r="Q7" s="290"/>
      <c r="R7" s="290"/>
      <c r="S7" s="380"/>
    </row>
    <row r="8" spans="1:26" ht="20.149999999999999" customHeight="1" x14ac:dyDescent="0.25">
      <c r="A8" s="648" t="s">
        <v>15</v>
      </c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</row>
    <row r="9" spans="1:26" s="240" customFormat="1" ht="63.75" customHeight="1" x14ac:dyDescent="0.25">
      <c r="A9" s="384" t="s">
        <v>16</v>
      </c>
      <c r="B9" s="384" t="s">
        <v>17</v>
      </c>
      <c r="C9" s="384" t="s">
        <v>18</v>
      </c>
      <c r="D9" s="384" t="s">
        <v>19</v>
      </c>
      <c r="E9" s="392" t="s">
        <v>20</v>
      </c>
      <c r="F9" s="392" t="s">
        <v>21</v>
      </c>
      <c r="G9" s="384" t="s">
        <v>22</v>
      </c>
      <c r="H9" s="384" t="s">
        <v>23</v>
      </c>
      <c r="I9" s="384" t="s">
        <v>24</v>
      </c>
      <c r="J9" s="384" t="s">
        <v>25</v>
      </c>
      <c r="K9" s="384" t="s">
        <v>26</v>
      </c>
      <c r="L9" s="384" t="s">
        <v>27</v>
      </c>
      <c r="M9" s="384" t="s">
        <v>28</v>
      </c>
      <c r="N9" s="384" t="s">
        <v>29</v>
      </c>
      <c r="O9" s="384" t="s">
        <v>30</v>
      </c>
      <c r="P9" s="384" t="s">
        <v>31</v>
      </c>
      <c r="Q9" s="384" t="s">
        <v>32</v>
      </c>
      <c r="R9" s="384" t="s">
        <v>33</v>
      </c>
      <c r="S9" s="384" t="s">
        <v>34</v>
      </c>
      <c r="T9" s="384" t="s">
        <v>35</v>
      </c>
      <c r="U9" s="384" t="s">
        <v>36</v>
      </c>
      <c r="V9" s="384" t="s">
        <v>37</v>
      </c>
      <c r="W9" s="384" t="s">
        <v>38</v>
      </c>
      <c r="X9" s="384" t="s">
        <v>39</v>
      </c>
      <c r="Y9" s="384" t="s">
        <v>40</v>
      </c>
      <c r="Z9" s="491"/>
    </row>
    <row r="10" spans="1:26" s="240" customFormat="1" ht="18.5" x14ac:dyDescent="0.25">
      <c r="A10" s="393">
        <v>48</v>
      </c>
      <c r="B10" s="394" t="s">
        <v>41</v>
      </c>
      <c r="C10" s="393">
        <v>13</v>
      </c>
      <c r="D10" s="395">
        <v>45156</v>
      </c>
      <c r="E10" s="396" t="s">
        <v>42</v>
      </c>
      <c r="F10" s="396">
        <v>200730</v>
      </c>
      <c r="G10" s="396" t="s">
        <v>43</v>
      </c>
      <c r="H10" s="393" t="s">
        <v>44</v>
      </c>
      <c r="I10" s="530">
        <v>17313</v>
      </c>
      <c r="J10" s="530">
        <v>7461</v>
      </c>
      <c r="K10" s="530"/>
      <c r="L10" s="530"/>
      <c r="M10" s="398" t="s">
        <v>44</v>
      </c>
      <c r="N10" s="530">
        <v>8227</v>
      </c>
      <c r="O10" s="530">
        <v>533</v>
      </c>
      <c r="P10" s="397" t="s">
        <v>45</v>
      </c>
      <c r="Q10" s="530">
        <v>1092</v>
      </c>
      <c r="R10" s="397"/>
      <c r="S10" s="530"/>
      <c r="T10" s="393" t="s">
        <v>46</v>
      </c>
      <c r="U10" s="393" t="s">
        <v>43</v>
      </c>
      <c r="V10" s="396" t="s">
        <v>47</v>
      </c>
      <c r="W10" s="393" t="s">
        <v>48</v>
      </c>
      <c r="X10" s="395"/>
      <c r="Y10" s="396" t="s">
        <v>49</v>
      </c>
    </row>
    <row r="11" spans="1:26" ht="20.149999999999999" customHeight="1" x14ac:dyDescent="0.25">
      <c r="A11" s="393">
        <v>57</v>
      </c>
      <c r="B11" s="490" t="s">
        <v>50</v>
      </c>
      <c r="C11" s="393">
        <v>12</v>
      </c>
      <c r="D11" s="395">
        <v>45178</v>
      </c>
      <c r="E11" s="393" t="s">
        <v>51</v>
      </c>
      <c r="F11" s="393">
        <v>200797</v>
      </c>
      <c r="G11" s="393" t="s">
        <v>43</v>
      </c>
      <c r="H11" s="393" t="s">
        <v>52</v>
      </c>
      <c r="I11" s="530">
        <v>158</v>
      </c>
      <c r="J11" s="530">
        <v>158</v>
      </c>
      <c r="K11" s="530"/>
      <c r="L11" s="530"/>
      <c r="M11" s="397"/>
      <c r="N11" s="530"/>
      <c r="O11" s="530"/>
      <c r="P11" s="397"/>
      <c r="Q11" s="530"/>
      <c r="R11" s="397"/>
      <c r="S11" s="530"/>
      <c r="T11" s="393" t="s">
        <v>53</v>
      </c>
      <c r="U11" s="393" t="s">
        <v>43</v>
      </c>
      <c r="V11" s="393" t="s">
        <v>54</v>
      </c>
      <c r="W11" s="393" t="s">
        <v>48</v>
      </c>
      <c r="X11" s="395"/>
      <c r="Y11" s="393" t="s">
        <v>55</v>
      </c>
    </row>
    <row r="12" spans="1:26" ht="18.75" customHeight="1" x14ac:dyDescent="0.25">
      <c r="A12" s="393">
        <v>59</v>
      </c>
      <c r="B12" s="490" t="s">
        <v>56</v>
      </c>
      <c r="C12" s="393">
        <v>2</v>
      </c>
      <c r="D12" s="395">
        <v>45181</v>
      </c>
      <c r="E12" s="393" t="s">
        <v>57</v>
      </c>
      <c r="F12" s="393">
        <v>200814</v>
      </c>
      <c r="G12" s="393" t="s">
        <v>43</v>
      </c>
      <c r="H12" s="393" t="s">
        <v>52</v>
      </c>
      <c r="I12" s="530">
        <v>0.1</v>
      </c>
      <c r="J12" s="530">
        <v>0.1</v>
      </c>
      <c r="K12" s="530"/>
      <c r="L12" s="530"/>
      <c r="M12" s="397"/>
      <c r="N12" s="530"/>
      <c r="O12" s="530"/>
      <c r="P12" s="397"/>
      <c r="Q12" s="530"/>
      <c r="R12" s="397"/>
      <c r="S12" s="530"/>
      <c r="T12" s="393" t="str">
        <f t="shared" ref="T12:T14" si="0">IF($I12&lt;=0, " ",IF($I12&lt;=0.25, "A",IF($I12&lt;10, "B",IF($I12&lt;100, "C", IF($I12&lt;300, "D",IF($I12&lt;1000, "E",IF($I12&lt;5000,"F",IF($I12&gt;=5000, "G"))))))))</f>
        <v>A</v>
      </c>
      <c r="U12" s="393" t="s">
        <v>43</v>
      </c>
      <c r="V12" s="393" t="s">
        <v>47</v>
      </c>
      <c r="W12" s="393" t="s">
        <v>58</v>
      </c>
      <c r="X12" s="395"/>
      <c r="Y12" s="393" t="s">
        <v>59</v>
      </c>
    </row>
    <row r="13" spans="1:26" ht="18.5" x14ac:dyDescent="0.25">
      <c r="A13" s="393">
        <v>60</v>
      </c>
      <c r="B13" s="490" t="s">
        <v>41</v>
      </c>
      <c r="C13" s="393">
        <v>14</v>
      </c>
      <c r="D13" s="395">
        <v>45181</v>
      </c>
      <c r="E13" s="393" t="s">
        <v>60</v>
      </c>
      <c r="F13" s="393">
        <v>200810</v>
      </c>
      <c r="G13" s="393" t="s">
        <v>43</v>
      </c>
      <c r="H13" s="393" t="s">
        <v>52</v>
      </c>
      <c r="I13" s="530">
        <v>2.81</v>
      </c>
      <c r="J13" s="530">
        <v>2.81</v>
      </c>
      <c r="K13" s="530"/>
      <c r="L13" s="530"/>
      <c r="M13" s="397"/>
      <c r="N13" s="530"/>
      <c r="O13" s="530"/>
      <c r="P13" s="397"/>
      <c r="Q13" s="530"/>
      <c r="R13" s="397"/>
      <c r="S13" s="530"/>
      <c r="T13" s="393" t="str">
        <f t="shared" si="0"/>
        <v>B</v>
      </c>
      <c r="U13" s="393" t="s">
        <v>43</v>
      </c>
      <c r="V13" s="393" t="s">
        <v>54</v>
      </c>
      <c r="W13" s="393" t="s">
        <v>58</v>
      </c>
      <c r="X13" s="395"/>
      <c r="Y13" s="393" t="s">
        <v>61</v>
      </c>
    </row>
    <row r="14" spans="1:26" ht="18.5" x14ac:dyDescent="0.25">
      <c r="A14" s="393">
        <v>63</v>
      </c>
      <c r="B14" s="490" t="s">
        <v>41</v>
      </c>
      <c r="C14" s="393">
        <v>19</v>
      </c>
      <c r="D14" s="395">
        <v>45186</v>
      </c>
      <c r="E14" s="393" t="s">
        <v>62</v>
      </c>
      <c r="F14" s="393">
        <v>200823</v>
      </c>
      <c r="G14" s="393" t="s">
        <v>43</v>
      </c>
      <c r="H14" s="393" t="s">
        <v>52</v>
      </c>
      <c r="I14" s="530">
        <v>14.5</v>
      </c>
      <c r="J14" s="530">
        <v>14.5</v>
      </c>
      <c r="K14" s="530"/>
      <c r="L14" s="530"/>
      <c r="M14" s="397"/>
      <c r="N14" s="530"/>
      <c r="O14" s="530"/>
      <c r="P14" s="397"/>
      <c r="Q14" s="530"/>
      <c r="R14" s="397"/>
      <c r="S14" s="530"/>
      <c r="T14" s="393" t="str">
        <f t="shared" si="0"/>
        <v>C</v>
      </c>
      <c r="U14" s="393" t="s">
        <v>43</v>
      </c>
      <c r="V14" s="393"/>
      <c r="W14" s="393" t="s">
        <v>63</v>
      </c>
      <c r="X14" s="395"/>
      <c r="Y14" s="393" t="s">
        <v>64</v>
      </c>
    </row>
    <row r="15" spans="1:26" ht="18.5" x14ac:dyDescent="0.25">
      <c r="A15" s="393">
        <v>67</v>
      </c>
      <c r="B15" s="490" t="s">
        <v>65</v>
      </c>
      <c r="C15" s="393">
        <v>4</v>
      </c>
      <c r="D15" s="395">
        <v>45194</v>
      </c>
      <c r="E15" s="393">
        <v>365</v>
      </c>
      <c r="F15" s="393">
        <v>200846</v>
      </c>
      <c r="G15" s="393" t="s">
        <v>43</v>
      </c>
      <c r="H15" s="393" t="s">
        <v>52</v>
      </c>
      <c r="I15" s="530">
        <v>0.1</v>
      </c>
      <c r="J15" s="530">
        <v>0.1</v>
      </c>
      <c r="K15" s="530"/>
      <c r="L15" s="530"/>
      <c r="M15" s="397"/>
      <c r="N15" s="530"/>
      <c r="O15" s="530"/>
      <c r="P15" s="397"/>
      <c r="Q15" s="530"/>
      <c r="R15" s="397"/>
      <c r="S15" s="530"/>
      <c r="T15" s="393" t="s">
        <v>66</v>
      </c>
      <c r="U15" s="393" t="s">
        <v>43</v>
      </c>
      <c r="V15" s="393" t="s">
        <v>47</v>
      </c>
      <c r="W15" s="393" t="s">
        <v>67</v>
      </c>
      <c r="X15" s="395">
        <v>45195</v>
      </c>
      <c r="Y15" s="393" t="s">
        <v>68</v>
      </c>
    </row>
    <row r="16" spans="1:26" ht="21" customHeight="1" x14ac:dyDescent="0.25">
      <c r="A16" s="649" t="s">
        <v>69</v>
      </c>
      <c r="B16" s="649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  <c r="T16" s="649"/>
      <c r="U16" s="649"/>
      <c r="V16" s="649"/>
      <c r="W16" s="649"/>
      <c r="X16" s="649"/>
      <c r="Y16" s="649"/>
    </row>
    <row r="17" spans="1:25" ht="56" thickBot="1" x14ac:dyDescent="0.3">
      <c r="A17" s="399" t="s">
        <v>70</v>
      </c>
      <c r="B17" s="399" t="s">
        <v>71</v>
      </c>
      <c r="C17" s="399" t="s">
        <v>72</v>
      </c>
      <c r="D17" s="399" t="s">
        <v>19</v>
      </c>
      <c r="E17" s="400" t="s">
        <v>20</v>
      </c>
      <c r="F17" s="400" t="s">
        <v>21</v>
      </c>
      <c r="G17" s="399" t="s">
        <v>22</v>
      </c>
      <c r="H17" s="399" t="s">
        <v>23</v>
      </c>
      <c r="I17" s="399" t="s">
        <v>73</v>
      </c>
      <c r="J17" s="399" t="s">
        <v>26</v>
      </c>
      <c r="K17" s="399" t="s">
        <v>25</v>
      </c>
      <c r="L17" s="399" t="s">
        <v>27</v>
      </c>
      <c r="M17" s="399" t="s">
        <v>28</v>
      </c>
      <c r="N17" s="399" t="s">
        <v>74</v>
      </c>
      <c r="O17" s="399" t="s">
        <v>30</v>
      </c>
      <c r="P17" s="399" t="s">
        <v>31</v>
      </c>
      <c r="Q17" s="399" t="s">
        <v>32</v>
      </c>
      <c r="R17" s="399" t="s">
        <v>33</v>
      </c>
      <c r="S17" s="399" t="s">
        <v>34</v>
      </c>
      <c r="T17" s="399" t="s">
        <v>35</v>
      </c>
      <c r="U17" s="399" t="s">
        <v>36</v>
      </c>
      <c r="V17" s="399" t="s">
        <v>37</v>
      </c>
      <c r="W17" s="399" t="s">
        <v>38</v>
      </c>
      <c r="X17" s="399" t="s">
        <v>39</v>
      </c>
      <c r="Y17" s="401" t="s">
        <v>40</v>
      </c>
    </row>
    <row r="18" spans="1:25" ht="18.5" x14ac:dyDescent="0.25">
      <c r="A18" s="393">
        <v>19</v>
      </c>
      <c r="B18" s="396" t="s">
        <v>75</v>
      </c>
      <c r="C18" s="393">
        <v>4</v>
      </c>
      <c r="D18" s="395">
        <v>45125</v>
      </c>
      <c r="E18" s="396" t="s">
        <v>76</v>
      </c>
      <c r="F18" s="396">
        <v>200549</v>
      </c>
      <c r="G18" s="396" t="s">
        <v>43</v>
      </c>
      <c r="H18" s="393" t="s">
        <v>52</v>
      </c>
      <c r="I18" s="530">
        <v>7154</v>
      </c>
      <c r="J18" s="530">
        <v>418</v>
      </c>
      <c r="K18" s="530">
        <v>5495</v>
      </c>
      <c r="L18" s="547"/>
      <c r="M18" s="397"/>
      <c r="N18" s="530"/>
      <c r="O18" s="530"/>
      <c r="P18" s="397" t="s">
        <v>77</v>
      </c>
      <c r="Q18" s="530">
        <v>1241</v>
      </c>
      <c r="R18" s="397"/>
      <c r="S18" s="530"/>
      <c r="T18" s="393" t="s">
        <v>46</v>
      </c>
      <c r="U18" s="393" t="s">
        <v>43</v>
      </c>
      <c r="V18" s="396" t="s">
        <v>54</v>
      </c>
      <c r="W18" s="393" t="s">
        <v>63</v>
      </c>
      <c r="X18" s="395"/>
      <c r="Y18" s="396" t="s">
        <v>78</v>
      </c>
    </row>
    <row r="19" spans="1:25" ht="21.5" thickBot="1" x14ac:dyDescent="0.3">
      <c r="A19" s="496" t="s">
        <v>79</v>
      </c>
      <c r="B19" s="528"/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3"/>
      <c r="N19" s="8"/>
      <c r="O19" s="529"/>
      <c r="P19" s="529"/>
      <c r="Q19" s="529"/>
      <c r="R19" s="529"/>
      <c r="S19" s="529"/>
      <c r="T19" s="529"/>
      <c r="U19" s="8"/>
      <c r="V19" s="8"/>
    </row>
    <row r="20" spans="1:25" ht="21.5" thickBot="1" x14ac:dyDescent="0.3">
      <c r="A20" s="492"/>
      <c r="B20" s="534" t="s">
        <v>80</v>
      </c>
      <c r="C20" s="535"/>
      <c r="D20" s="535"/>
      <c r="E20" s="535"/>
      <c r="F20" s="535"/>
      <c r="G20" s="535"/>
      <c r="H20" s="535"/>
      <c r="I20" s="535"/>
      <c r="J20" s="535"/>
      <c r="K20" s="535"/>
      <c r="L20" s="536"/>
      <c r="M20" s="53"/>
      <c r="N20" s="8"/>
      <c r="O20" s="531" t="s">
        <v>81</v>
      </c>
      <c r="P20" s="532"/>
      <c r="Q20" s="532"/>
      <c r="R20" s="532"/>
      <c r="S20" s="532"/>
      <c r="T20" s="533"/>
      <c r="U20" s="8"/>
      <c r="V20" s="8"/>
    </row>
    <row r="21" spans="1:25" ht="19" thickBot="1" x14ac:dyDescent="0.3">
      <c r="A21" s="312"/>
      <c r="B21" s="412" t="s">
        <v>82</v>
      </c>
      <c r="C21" s="413"/>
      <c r="D21" s="413"/>
      <c r="E21" s="413"/>
      <c r="F21" s="413"/>
      <c r="G21" s="413"/>
      <c r="H21" s="413"/>
      <c r="I21" s="413"/>
      <c r="J21" s="413"/>
      <c r="K21" s="413"/>
      <c r="L21" s="414"/>
      <c r="O21" s="493" t="s">
        <v>83</v>
      </c>
      <c r="P21" s="494" t="s">
        <v>84</v>
      </c>
      <c r="Q21" s="494" t="s">
        <v>85</v>
      </c>
      <c r="R21" s="494" t="s">
        <v>86</v>
      </c>
      <c r="S21" s="494" t="s">
        <v>87</v>
      </c>
      <c r="T21" s="495" t="s">
        <v>88</v>
      </c>
    </row>
    <row r="22" spans="1:25" ht="18.5" x14ac:dyDescent="0.45">
      <c r="A22" s="311"/>
      <c r="B22" s="480"/>
      <c r="C22" s="481"/>
      <c r="D22" s="481"/>
      <c r="E22" s="482"/>
      <c r="F22" s="481" t="s">
        <v>89</v>
      </c>
      <c r="G22" s="481"/>
      <c r="H22" s="402" t="s">
        <v>90</v>
      </c>
      <c r="I22" s="481" t="s">
        <v>91</v>
      </c>
      <c r="J22" s="481" t="s">
        <v>92</v>
      </c>
      <c r="K22" s="481" t="s">
        <v>93</v>
      </c>
      <c r="L22" s="483" t="s">
        <v>94</v>
      </c>
      <c r="O22" s="419" t="s">
        <v>95</v>
      </c>
      <c r="P22" s="420" t="str">
        <f>VLOOKUP("*"&amp;O22&amp;"*",Table_0[],3,FALSE)</f>
        <v>0.03</v>
      </c>
      <c r="Q22" s="420" t="str">
        <f>VLOOKUP("*"&amp;O22&amp;"*",Table_0[],4,FALSE)</f>
        <v>0.03</v>
      </c>
      <c r="R22" s="420" t="str">
        <f>VLOOKUP("*"&amp;O22&amp;"*",Table_0[],5,FALSE)</f>
        <v>0.03</v>
      </c>
      <c r="S22" s="420" t="str">
        <f>VLOOKUP("*"&amp;O22&amp;"*",Table_0[],6,FALSE)</f>
        <v>0.04</v>
      </c>
      <c r="T22" s="421" t="str">
        <f>VLOOKUP("*"&amp;O22&amp;"*",Table_0[],7,FALSE)</f>
        <v>0.97</v>
      </c>
    </row>
    <row r="23" spans="1:25" ht="19" thickBot="1" x14ac:dyDescent="0.3">
      <c r="A23" s="311"/>
      <c r="B23" s="405" t="s">
        <v>96</v>
      </c>
      <c r="C23" s="406" t="s">
        <v>97</v>
      </c>
      <c r="D23" s="406" t="s">
        <v>98</v>
      </c>
      <c r="E23" s="407" t="s">
        <v>99</v>
      </c>
      <c r="F23" s="406" t="s">
        <v>100</v>
      </c>
      <c r="G23" s="406" t="s">
        <v>90</v>
      </c>
      <c r="H23" s="406" t="s">
        <v>100</v>
      </c>
      <c r="I23" s="406" t="s">
        <v>101</v>
      </c>
      <c r="J23" s="406" t="s">
        <v>102</v>
      </c>
      <c r="K23" s="406" t="s">
        <v>103</v>
      </c>
      <c r="L23" s="408" t="s">
        <v>104</v>
      </c>
      <c r="O23" s="422" t="s">
        <v>105</v>
      </c>
      <c r="P23" s="423" t="str">
        <f>VLOOKUP("*"&amp;O23&amp;"*",Table_0[],3,FALSE)</f>
        <v>0.11</v>
      </c>
      <c r="Q23" s="423" t="str">
        <f>VLOOKUP("*"&amp;O23&amp;"*",Table_0[],4,FALSE)</f>
        <v>0.11</v>
      </c>
      <c r="R23" s="423" t="str">
        <f>VLOOKUP("*"&amp;O23&amp;"*",Table_0[],5,FALSE)</f>
        <v>0.11</v>
      </c>
      <c r="S23" s="423" t="str">
        <f>VLOOKUP("*"&amp;O23&amp;"*",Table_0[],6,FALSE)</f>
        <v>0.11</v>
      </c>
      <c r="T23" s="424" t="str">
        <f>VLOOKUP("*"&amp;O23&amp;"*",Table_0[],7,FALSE)</f>
        <v>0.60</v>
      </c>
    </row>
    <row r="24" spans="1:25" ht="19" thickBot="1" x14ac:dyDescent="0.3">
      <c r="A24" s="311"/>
      <c r="B24" s="484" t="s">
        <v>106</v>
      </c>
      <c r="C24" s="484" t="s">
        <v>107</v>
      </c>
      <c r="D24" s="485">
        <v>45198</v>
      </c>
      <c r="E24" s="484">
        <v>19.8</v>
      </c>
      <c r="F24" s="484">
        <v>33.9</v>
      </c>
      <c r="G24" s="484">
        <v>19</v>
      </c>
      <c r="H24" s="484">
        <v>37.299999999999997</v>
      </c>
      <c r="I24" s="486">
        <v>1</v>
      </c>
      <c r="J24" s="486">
        <v>1</v>
      </c>
      <c r="K24" s="487" t="s">
        <v>6</v>
      </c>
      <c r="L24" s="487" t="s">
        <v>6</v>
      </c>
      <c r="O24" s="422" t="s">
        <v>108</v>
      </c>
      <c r="P24" s="423" t="str">
        <f>VLOOKUP("*"&amp;O24&amp;"*",Table_0[],3,FALSE)</f>
        <v>0.09</v>
      </c>
      <c r="Q24" s="423" t="str">
        <f>VLOOKUP("*"&amp;O24&amp;"*",Table_0[],4,FALSE)</f>
        <v>0.09</v>
      </c>
      <c r="R24" s="423" t="str">
        <f>VLOOKUP("*"&amp;O24&amp;"*",Table_0[],5,FALSE)</f>
        <v>0.09</v>
      </c>
      <c r="S24" s="423" t="str">
        <f>VLOOKUP("*"&amp;O24&amp;"*",Table_0[],6,FALSE)</f>
        <v>0.16</v>
      </c>
      <c r="T24" s="424" t="str">
        <f>VLOOKUP("*"&amp;O24&amp;"*",Table_0[],7,FALSE)</f>
        <v>0.89</v>
      </c>
    </row>
    <row r="25" spans="1:25" ht="19" thickBot="1" x14ac:dyDescent="0.3">
      <c r="A25" s="311"/>
      <c r="B25" s="484" t="s">
        <v>109</v>
      </c>
      <c r="C25" s="484" t="s">
        <v>107</v>
      </c>
      <c r="D25" s="485">
        <v>45198</v>
      </c>
      <c r="E25" s="484">
        <v>15.8</v>
      </c>
      <c r="F25" s="484">
        <v>19.100000000000001</v>
      </c>
      <c r="G25" s="484">
        <v>16.8</v>
      </c>
      <c r="H25" s="484">
        <v>20.2</v>
      </c>
      <c r="I25" s="486">
        <v>1</v>
      </c>
      <c r="J25" s="486">
        <v>1</v>
      </c>
      <c r="K25" s="487" t="s">
        <v>6</v>
      </c>
      <c r="L25" s="487" t="s">
        <v>6</v>
      </c>
      <c r="M25" s="99"/>
      <c r="O25" s="422" t="s">
        <v>110</v>
      </c>
      <c r="P25" s="423" t="str">
        <f>VLOOKUP("*"&amp;O25&amp;"*",Table_0[],3,FALSE)</f>
        <v>0.11</v>
      </c>
      <c r="Q25" s="423" t="str">
        <f>VLOOKUP("*"&amp;O25&amp;"*",Table_0[],4,FALSE)</f>
        <v>0.11</v>
      </c>
      <c r="R25" s="423" t="str">
        <f>VLOOKUP("*"&amp;O25&amp;"*",Table_0[],5,FALSE)</f>
        <v>0.11</v>
      </c>
      <c r="S25" s="423" t="str">
        <f>VLOOKUP("*"&amp;O25&amp;"*",Table_0[],6,FALSE)</f>
        <v>0.11</v>
      </c>
      <c r="T25" s="424" t="str">
        <f>VLOOKUP("*"&amp;O25&amp;"*",Table_0[],7,FALSE)</f>
        <v>0.88</v>
      </c>
    </row>
    <row r="26" spans="1:25" ht="19" thickBot="1" x14ac:dyDescent="0.3">
      <c r="A26" s="311"/>
      <c r="B26" s="484" t="s">
        <v>111</v>
      </c>
      <c r="C26" s="484" t="s">
        <v>107</v>
      </c>
      <c r="D26" s="485">
        <v>45198</v>
      </c>
      <c r="E26" s="484">
        <v>26.1</v>
      </c>
      <c r="F26" s="484">
        <v>61.6</v>
      </c>
      <c r="G26" s="484">
        <v>25.1</v>
      </c>
      <c r="H26" s="484">
        <v>70.5</v>
      </c>
      <c r="I26" s="486">
        <v>2</v>
      </c>
      <c r="J26" s="486">
        <v>2</v>
      </c>
      <c r="K26" s="487" t="s">
        <v>6</v>
      </c>
      <c r="L26" s="487" t="s">
        <v>6</v>
      </c>
      <c r="M26" s="99"/>
      <c r="O26" s="422" t="s">
        <v>112</v>
      </c>
      <c r="P26" s="423" t="str">
        <f>VLOOKUP("*"&amp;O26&amp;"*",Table_0[],3,FALSE)</f>
        <v>0.01</v>
      </c>
      <c r="Q26" s="423" t="str">
        <f>VLOOKUP("*"&amp;O26&amp;"*",Table_0[],4,FALSE)</f>
        <v>0.01</v>
      </c>
      <c r="R26" s="423" t="str">
        <f>VLOOKUP("*"&amp;O26&amp;"*",Table_0[],5,FALSE)</f>
        <v>0.01</v>
      </c>
      <c r="S26" s="423" t="str">
        <f>VLOOKUP("*"&amp;O26&amp;"*",Table_0[],6,FALSE)</f>
        <v>0.01</v>
      </c>
      <c r="T26" s="424" t="str">
        <f>VLOOKUP("*"&amp;O26&amp;"*",Table_0[],7,FALSE)</f>
        <v>0.83</v>
      </c>
    </row>
    <row r="27" spans="1:25" ht="19" thickBot="1" x14ac:dyDescent="0.3">
      <c r="A27" s="311"/>
      <c r="B27" s="484" t="s">
        <v>113</v>
      </c>
      <c r="C27" s="484" t="s">
        <v>107</v>
      </c>
      <c r="D27" s="485">
        <v>45198</v>
      </c>
      <c r="E27" s="484">
        <v>21</v>
      </c>
      <c r="F27" s="484">
        <v>14.8</v>
      </c>
      <c r="G27" s="484">
        <v>15.6</v>
      </c>
      <c r="H27" s="484">
        <v>16.899999999999999</v>
      </c>
      <c r="I27" s="486">
        <v>1</v>
      </c>
      <c r="J27" s="486">
        <v>1</v>
      </c>
      <c r="K27" s="487" t="s">
        <v>6</v>
      </c>
      <c r="L27" s="487" t="s">
        <v>6</v>
      </c>
      <c r="M27" s="373"/>
      <c r="O27" s="422" t="s">
        <v>114</v>
      </c>
      <c r="P27" s="423" t="str">
        <f>VLOOKUP("*"&amp;O27&amp;"*",Table_0[],3,FALSE)</f>
        <v>0.25</v>
      </c>
      <c r="Q27" s="423" t="str">
        <f>VLOOKUP("*"&amp;O27&amp;"*",Table_0[],4,FALSE)</f>
        <v>0.25</v>
      </c>
      <c r="R27" s="423" t="str">
        <f>VLOOKUP("*"&amp;O27&amp;"*",Table_0[],5,FALSE)</f>
        <v>0.25</v>
      </c>
      <c r="S27" s="423" t="str">
        <f>VLOOKUP("*"&amp;O27&amp;"*",Table_0[],6,FALSE)</f>
        <v>0.25</v>
      </c>
      <c r="T27" s="424" t="str">
        <f>VLOOKUP("*"&amp;O27&amp;"*",Table_0[],7,FALSE)</f>
        <v>1.32</v>
      </c>
    </row>
    <row r="28" spans="1:25" ht="19" thickBot="1" x14ac:dyDescent="0.3">
      <c r="A28" s="311"/>
      <c r="B28" s="409"/>
      <c r="C28" s="409"/>
      <c r="D28" s="380"/>
      <c r="E28" s="410"/>
      <c r="F28" s="411"/>
      <c r="G28" s="380"/>
      <c r="H28" s="380"/>
      <c r="I28" s="380"/>
      <c r="J28" s="380"/>
      <c r="K28" s="380"/>
      <c r="L28" s="380"/>
      <c r="M28" s="99"/>
      <c r="O28" s="422" t="s">
        <v>115</v>
      </c>
      <c r="P28" s="423" t="str">
        <f>VLOOKUP("*"&amp;O28&amp;"*",Table_0[],3,FALSE)</f>
        <v>0.00</v>
      </c>
      <c r="Q28" s="423" t="str">
        <f>VLOOKUP("*"&amp;O28&amp;"*",Table_0[],4,FALSE)</f>
        <v>0.00</v>
      </c>
      <c r="R28" s="423" t="str">
        <f>VLOOKUP("*"&amp;O28&amp;"*",Table_0[],5,FALSE)</f>
        <v>0.00</v>
      </c>
      <c r="S28" s="423" t="str">
        <f>VLOOKUP("*"&amp;O28&amp;"*",Table_0[],6,FALSE)</f>
        <v>0.02</v>
      </c>
      <c r="T28" s="424" t="str">
        <f>VLOOKUP("*"&amp;O28&amp;"*",Table_0[],7,FALSE)</f>
        <v>1.02</v>
      </c>
    </row>
    <row r="29" spans="1:25" ht="19" thickBot="1" x14ac:dyDescent="0.3">
      <c r="A29" s="311"/>
      <c r="B29" s="412" t="s">
        <v>116</v>
      </c>
      <c r="C29" s="413"/>
      <c r="D29" s="413"/>
      <c r="E29" s="413"/>
      <c r="F29" s="413"/>
      <c r="G29" s="413"/>
      <c r="H29" s="413"/>
      <c r="I29" s="413"/>
      <c r="J29" s="413"/>
      <c r="K29" s="413"/>
      <c r="L29" s="414"/>
      <c r="O29" s="422" t="s">
        <v>117</v>
      </c>
      <c r="P29" s="423" t="str">
        <f>VLOOKUP("*"&amp;O29&amp;"*",Table_0[],3,FALSE)</f>
        <v>0.11</v>
      </c>
      <c r="Q29" s="423" t="str">
        <f>VLOOKUP("*"&amp;O29&amp;"*",Table_0[],4,FALSE)</f>
        <v>0.11</v>
      </c>
      <c r="R29" s="423" t="str">
        <f>VLOOKUP("*"&amp;O29&amp;"*",Table_0[],5,FALSE)</f>
        <v>0.11</v>
      </c>
      <c r="S29" s="423" t="str">
        <f>VLOOKUP("*"&amp;O29&amp;"*",Table_0[],6,FALSE)</f>
        <v>0.20</v>
      </c>
      <c r="T29" s="424" t="str">
        <f>VLOOKUP("*"&amp;O29&amp;"*",Table_0[],7,FALSE)</f>
        <v>1.53</v>
      </c>
    </row>
    <row r="30" spans="1:25" ht="18.5" x14ac:dyDescent="0.25">
      <c r="A30" s="311"/>
      <c r="B30" s="415"/>
      <c r="C30" s="402"/>
      <c r="D30" s="402"/>
      <c r="E30" s="403"/>
      <c r="F30" s="402" t="s">
        <v>89</v>
      </c>
      <c r="G30" s="402"/>
      <c r="H30" s="402" t="s">
        <v>90</v>
      </c>
      <c r="I30" s="402" t="s">
        <v>91</v>
      </c>
      <c r="J30" s="402" t="s">
        <v>92</v>
      </c>
      <c r="K30" s="402" t="s">
        <v>93</v>
      </c>
      <c r="L30" s="404" t="s">
        <v>94</v>
      </c>
      <c r="O30" s="422" t="s">
        <v>118</v>
      </c>
      <c r="P30" s="423" t="str">
        <f>VLOOKUP("*"&amp;O30&amp;"*",Table_0[],3,FALSE)</f>
        <v>0.01</v>
      </c>
      <c r="Q30" s="423" t="str">
        <f>VLOOKUP("*"&amp;O30&amp;"*",Table_0[],4,FALSE)</f>
        <v>0.01</v>
      </c>
      <c r="R30" s="423" t="str">
        <f>VLOOKUP("*"&amp;O30&amp;"*",Table_0[],5,FALSE)</f>
        <v>0.01</v>
      </c>
      <c r="S30" s="423" t="str">
        <f>VLOOKUP("*"&amp;O30&amp;"*",Table_0[],6,FALSE)</f>
        <v>0.03</v>
      </c>
      <c r="T30" s="424" t="str">
        <f>VLOOKUP("*"&amp;O30&amp;"*",Table_0[],7,FALSE)</f>
        <v>1.36</v>
      </c>
    </row>
    <row r="31" spans="1:25" ht="19" thickBot="1" x14ac:dyDescent="0.3">
      <c r="A31" s="312"/>
      <c r="B31" s="416" t="s">
        <v>96</v>
      </c>
      <c r="C31" s="406" t="s">
        <v>97</v>
      </c>
      <c r="D31" s="406" t="s">
        <v>98</v>
      </c>
      <c r="E31" s="407" t="s">
        <v>99</v>
      </c>
      <c r="F31" s="406" t="s">
        <v>100</v>
      </c>
      <c r="G31" s="406" t="s">
        <v>90</v>
      </c>
      <c r="H31" s="406" t="s">
        <v>100</v>
      </c>
      <c r="I31" s="406" t="s">
        <v>101</v>
      </c>
      <c r="J31" s="406" t="s">
        <v>102</v>
      </c>
      <c r="K31" s="406" t="s">
        <v>103</v>
      </c>
      <c r="L31" s="408" t="s">
        <v>104</v>
      </c>
      <c r="O31" s="422" t="s">
        <v>119</v>
      </c>
      <c r="P31" s="423" t="str">
        <f>VLOOKUP("*"&amp;O31&amp;"*",Table_0[],3,FALSE)</f>
        <v>0.34</v>
      </c>
      <c r="Q31" s="423" t="str">
        <f>VLOOKUP("*"&amp;O31&amp;"*",Table_0[],4,FALSE)</f>
        <v>0.34</v>
      </c>
      <c r="R31" s="423" t="str">
        <f>VLOOKUP("*"&amp;O31&amp;"*",Table_0[],5,FALSE)</f>
        <v>0.34</v>
      </c>
      <c r="S31" s="423" t="str">
        <f>VLOOKUP("*"&amp;O31&amp;"*",Table_0[],6,FALSE)</f>
        <v>0.41</v>
      </c>
      <c r="T31" s="424" t="str">
        <f>VLOOKUP("*"&amp;O31&amp;"*",Table_0[],7,FALSE)</f>
        <v>1.53</v>
      </c>
    </row>
    <row r="32" spans="1:25" ht="19" thickBot="1" x14ac:dyDescent="0.3">
      <c r="A32" s="311"/>
      <c r="B32" s="484" t="s">
        <v>106</v>
      </c>
      <c r="C32" s="484" t="s">
        <v>107</v>
      </c>
      <c r="D32" s="485">
        <v>45199</v>
      </c>
      <c r="E32" s="484">
        <v>18.7</v>
      </c>
      <c r="F32" s="484">
        <v>31.4</v>
      </c>
      <c r="G32" s="484">
        <v>18.7</v>
      </c>
      <c r="H32" s="484">
        <v>34.5</v>
      </c>
      <c r="I32" s="486">
        <v>1</v>
      </c>
      <c r="J32" s="486">
        <v>1</v>
      </c>
      <c r="K32" s="487" t="s">
        <v>6</v>
      </c>
      <c r="L32" s="487" t="s">
        <v>6</v>
      </c>
      <c r="O32" s="422" t="s">
        <v>120</v>
      </c>
      <c r="P32" s="423" t="str">
        <f>VLOOKUP("*"&amp;O32&amp;"*",Table_0[],3,FALSE)</f>
        <v>0.13</v>
      </c>
      <c r="Q32" s="423" t="str">
        <f>VLOOKUP("*"&amp;O32&amp;"*",Table_0[],4,FALSE)</f>
        <v>0.13</v>
      </c>
      <c r="R32" s="423" t="str">
        <f>VLOOKUP("*"&amp;O32&amp;"*",Table_0[],5,FALSE)</f>
        <v>0.13</v>
      </c>
      <c r="S32" s="423" t="str">
        <f>VLOOKUP("*"&amp;O32&amp;"*",Table_0[],6,FALSE)</f>
        <v>0.16</v>
      </c>
      <c r="T32" s="424" t="str">
        <f>VLOOKUP("*"&amp;O32&amp;"*",Table_0[],7,FALSE)</f>
        <v>1.05</v>
      </c>
    </row>
    <row r="33" spans="1:20" ht="19" thickBot="1" x14ac:dyDescent="0.3">
      <c r="A33" s="311"/>
      <c r="B33" s="484" t="s">
        <v>109</v>
      </c>
      <c r="C33" s="484" t="s">
        <v>107</v>
      </c>
      <c r="D33" s="485">
        <v>45199</v>
      </c>
      <c r="E33" s="484">
        <v>16.7</v>
      </c>
      <c r="F33" s="484">
        <v>21.4</v>
      </c>
      <c r="G33" s="484">
        <v>19.600000000000001</v>
      </c>
      <c r="H33" s="484">
        <v>25.2</v>
      </c>
      <c r="I33" s="486">
        <v>1</v>
      </c>
      <c r="J33" s="486">
        <v>1</v>
      </c>
      <c r="K33" s="487" t="s">
        <v>6</v>
      </c>
      <c r="L33" s="487" t="s">
        <v>6</v>
      </c>
      <c r="O33" s="422" t="s">
        <v>121</v>
      </c>
      <c r="P33" s="423" t="str">
        <f>VLOOKUP("*"&amp;O33&amp;"*",Table_0[],3,FALSE)</f>
        <v>0.04</v>
      </c>
      <c r="Q33" s="423" t="str">
        <f>VLOOKUP("*"&amp;O33&amp;"*",Table_0[],4,FALSE)</f>
        <v>0.04</v>
      </c>
      <c r="R33" s="423" t="str">
        <f>VLOOKUP("*"&amp;O33&amp;"*",Table_0[],5,FALSE)</f>
        <v>0.04</v>
      </c>
      <c r="S33" s="423" t="str">
        <f>VLOOKUP("*"&amp;O33&amp;"*",Table_0[],6,FALSE)</f>
        <v>0.04</v>
      </c>
      <c r="T33" s="424" t="str">
        <f>VLOOKUP("*"&amp;O33&amp;"*",Table_0[],7,FALSE)</f>
        <v>0.72</v>
      </c>
    </row>
    <row r="34" spans="1:20" ht="19" thickBot="1" x14ac:dyDescent="0.3">
      <c r="A34" s="311"/>
      <c r="B34" s="484" t="s">
        <v>111</v>
      </c>
      <c r="C34" s="484" t="s">
        <v>107</v>
      </c>
      <c r="D34" s="485">
        <v>45199</v>
      </c>
      <c r="E34" s="484">
        <v>24.1</v>
      </c>
      <c r="F34" s="484">
        <v>53.7</v>
      </c>
      <c r="G34" s="484">
        <v>23.9</v>
      </c>
      <c r="H34" s="484">
        <v>58.7</v>
      </c>
      <c r="I34" s="486">
        <v>2</v>
      </c>
      <c r="J34" s="486">
        <v>1</v>
      </c>
      <c r="K34" s="487" t="s">
        <v>6</v>
      </c>
      <c r="L34" s="487" t="s">
        <v>6</v>
      </c>
      <c r="O34" s="422" t="s">
        <v>122</v>
      </c>
      <c r="P34" s="423" t="str">
        <f>VLOOKUP("*"&amp;O34&amp;"*",Table_0[],3,FALSE)</f>
        <v>0.00</v>
      </c>
      <c r="Q34" s="423" t="str">
        <f>VLOOKUP("*"&amp;O34&amp;"*",Table_0[],4,FALSE)</f>
        <v>0.00</v>
      </c>
      <c r="R34" s="423" t="str">
        <f>VLOOKUP("*"&amp;O34&amp;"*",Table_0[],5,FALSE)</f>
        <v>0.00</v>
      </c>
      <c r="S34" s="423" t="str">
        <f>VLOOKUP("*"&amp;O34&amp;"*",Table_0[],6,FALSE)</f>
        <v>0.12</v>
      </c>
      <c r="T34" s="424" t="str">
        <f>VLOOKUP("*"&amp;O34&amp;"*",Table_0[],7,FALSE)</f>
        <v>1.26</v>
      </c>
    </row>
    <row r="35" spans="1:20" ht="19" thickBot="1" x14ac:dyDescent="0.3">
      <c r="A35" s="311"/>
      <c r="B35" s="484" t="s">
        <v>113</v>
      </c>
      <c r="C35" s="484" t="s">
        <v>107</v>
      </c>
      <c r="D35" s="485">
        <v>45199</v>
      </c>
      <c r="E35" s="484">
        <v>18.899999999999999</v>
      </c>
      <c r="F35" s="484">
        <v>10.4</v>
      </c>
      <c r="G35" s="484">
        <v>14.2</v>
      </c>
      <c r="H35" s="484">
        <v>14.3</v>
      </c>
      <c r="I35" s="486">
        <v>1</v>
      </c>
      <c r="J35" s="486">
        <v>1</v>
      </c>
      <c r="K35" s="487" t="s">
        <v>6</v>
      </c>
      <c r="L35" s="487" t="s">
        <v>6</v>
      </c>
      <c r="O35" s="477" t="s">
        <v>123</v>
      </c>
      <c r="P35" s="423" t="str">
        <f>VLOOKUP("*"&amp;O35&amp;"*",Table_0[],3,FALSE)</f>
        <v>0.22</v>
      </c>
      <c r="Q35" s="423" t="str">
        <f>VLOOKUP("*"&amp;O35&amp;"*",Table_0[],4,FALSE)</f>
        <v>0.22</v>
      </c>
      <c r="R35" s="423" t="str">
        <f>VLOOKUP("*"&amp;O35&amp;"*",Table_0[],5,FALSE)</f>
        <v>0.22</v>
      </c>
      <c r="S35" s="423" t="str">
        <f>VLOOKUP("*"&amp;O35&amp;"*",Table_0[],6,FALSE)</f>
        <v>0.30</v>
      </c>
      <c r="T35" s="424" t="str">
        <f>VLOOKUP("*"&amp;O35&amp;"*",Table_0[],7,FALSE)</f>
        <v>1.00</v>
      </c>
    </row>
    <row r="36" spans="1:20" ht="18.5" x14ac:dyDescent="0.25">
      <c r="A36" s="311"/>
      <c r="B36" s="417" t="s">
        <v>124</v>
      </c>
      <c r="C36" s="417"/>
      <c r="D36" s="417"/>
      <c r="E36" s="418"/>
      <c r="F36" s="417"/>
      <c r="G36" s="417"/>
      <c r="H36" s="417"/>
      <c r="I36" s="417"/>
      <c r="J36" s="417"/>
      <c r="K36" s="417"/>
      <c r="L36" s="417"/>
      <c r="O36" s="478" t="s">
        <v>125</v>
      </c>
      <c r="P36" s="423" t="str">
        <f>VLOOKUP("*"&amp;O36&amp;"*",Table_0[],3,FALSE)</f>
        <v>0.00</v>
      </c>
      <c r="Q36" s="423" t="str">
        <f>VLOOKUP("*"&amp;O36&amp;"*",Table_0[],4,FALSE)</f>
        <v>0.00</v>
      </c>
      <c r="R36" s="423" t="str">
        <f>VLOOKUP("*"&amp;O36&amp;"*",Table_0[],5,FALSE)</f>
        <v>0.00</v>
      </c>
      <c r="S36" s="423" t="str">
        <f>VLOOKUP("*"&amp;O36&amp;"*",Table_0[],6,FALSE)</f>
        <v>0.01</v>
      </c>
      <c r="T36" s="424" t="str">
        <f>VLOOKUP("*"&amp;O36&amp;"*",Table_0[],7,FALSE)</f>
        <v>0.86</v>
      </c>
    </row>
    <row r="37" spans="1:20" ht="19" thickBot="1" x14ac:dyDescent="0.3">
      <c r="B37" s="479"/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O37" s="425" t="s">
        <v>126</v>
      </c>
      <c r="P37" s="426" t="str">
        <f>VLOOKUP("*"&amp;O37&amp;"*",Table_0[],3,FALSE)</f>
        <v>0.15</v>
      </c>
      <c r="Q37" s="426" t="str">
        <f>VLOOKUP("*"&amp;O37&amp;"*",Table_0[],4,FALSE)</f>
        <v>0.15</v>
      </c>
      <c r="R37" s="426" t="str">
        <f>VLOOKUP("*"&amp;O37&amp;"*",Table_0[],5,FALSE)</f>
        <v>0.15</v>
      </c>
      <c r="S37" s="426" t="str">
        <f>VLOOKUP("*"&amp;O37&amp;"*",Table_0[],6,FALSE)</f>
        <v>0.16</v>
      </c>
      <c r="T37" s="427" t="str">
        <f>VLOOKUP("*"&amp;O37&amp;"*",Table_0[],7,FALSE)</f>
        <v>0.75</v>
      </c>
    </row>
    <row r="38" spans="1:20" ht="14" x14ac:dyDescent="0.3">
      <c r="B38" s="488" t="s">
        <v>127</v>
      </c>
      <c r="C38" s="489">
        <f ca="1">NOW()</f>
        <v>45239.629088773145</v>
      </c>
      <c r="D38" s="489"/>
    </row>
  </sheetData>
  <protectedRanges>
    <protectedRange sqref="O22:T37 O19:S21" name="Range1"/>
  </protectedRanges>
  <sortState xmlns:xlrd2="http://schemas.microsoft.com/office/spreadsheetml/2017/richdata2" ref="O22:T37">
    <sortCondition ref="O22:O37"/>
  </sortState>
  <mergeCells count="24">
    <mergeCell ref="H2:H3"/>
    <mergeCell ref="I2:L3"/>
    <mergeCell ref="I5:J5"/>
    <mergeCell ref="R5:T5"/>
    <mergeCell ref="R6:T6"/>
    <mergeCell ref="I6:J6"/>
    <mergeCell ref="K5:L5"/>
    <mergeCell ref="K6:L6"/>
    <mergeCell ref="A8:Y8"/>
    <mergeCell ref="A16:Y16"/>
    <mergeCell ref="U5:W5"/>
    <mergeCell ref="U6:W6"/>
    <mergeCell ref="V2:W3"/>
    <mergeCell ref="C2:G3"/>
    <mergeCell ref="C5:G5"/>
    <mergeCell ref="C6:G6"/>
    <mergeCell ref="O5:O6"/>
    <mergeCell ref="P5:Q5"/>
    <mergeCell ref="P6:Q6"/>
    <mergeCell ref="O2:O3"/>
    <mergeCell ref="P2:P3"/>
    <mergeCell ref="Q2:R3"/>
    <mergeCell ref="S2:S3"/>
    <mergeCell ref="T2:U3"/>
  </mergeCells>
  <phoneticPr fontId="9" type="noConversion"/>
  <conditionalFormatting sqref="H5:I6">
    <cfRule type="containsText" dxfId="27" priority="13" operator="containsText" text="High">
      <formula>NOT(ISERROR(SEARCH("High",H5)))</formula>
    </cfRule>
    <cfRule type="containsText" dxfId="26" priority="14" operator="containsText" text="Mod">
      <formula>NOT(ISERROR(SEARCH("Mod",H5)))</formula>
    </cfRule>
    <cfRule type="containsText" dxfId="25" priority="15" operator="containsText" text="Low">
      <formula>NOT(ISERROR(SEARCH("Low",H5)))</formula>
    </cfRule>
  </conditionalFormatting>
  <conditionalFormatting sqref="K5:K6">
    <cfRule type="containsText" dxfId="24" priority="9" operator="containsText" text="Extreme">
      <formula>NOT(ISERROR(SEARCH("Extreme",K5)))</formula>
    </cfRule>
    <cfRule type="containsText" dxfId="23" priority="10" operator="containsText" text="Very High">
      <formula>NOT(ISERROR(SEARCH("Very High",K5)))</formula>
    </cfRule>
    <cfRule type="containsText" dxfId="22" priority="11" operator="containsText" text="High">
      <formula>NOT(ISERROR(SEARCH("High",K5)))</formula>
    </cfRule>
    <cfRule type="containsText" dxfId="21" priority="12" operator="containsText" text="Low">
      <formula>NOT(ISERROR(SEARCH("Low",K5)))</formula>
    </cfRule>
    <cfRule type="cellIs" dxfId="20" priority="69" stopIfTrue="1" operator="equal">
      <formula>"Moderate"</formula>
    </cfRule>
  </conditionalFormatting>
  <dataValidations count="4">
    <dataValidation type="list" allowBlank="1" showInputMessage="1" showErrorMessage="1" sqref="S2 V2 P2" xr:uid="{080A6600-B7E9-442F-A808-D95574AFD1E1}">
      <formula1>"1,2,3,4,5"</formula1>
    </dataValidation>
    <dataValidation type="list" allowBlank="1" showInputMessage="1" showErrorMessage="1" sqref="K5:K6" xr:uid="{8741428B-620B-45B8-BB8E-1C22833FC0EB}">
      <formula1>"Low,Moderate,High,Very High,Extreme"</formula1>
    </dataValidation>
    <dataValidation type="list" allowBlank="1" showInputMessage="1" showErrorMessage="1" sqref="H5:I6" xr:uid="{EC1AD285-92C3-4EE1-B479-858B8C7BBF70}">
      <formula1>"Low,Mod,High"</formula1>
    </dataValidation>
    <dataValidation type="list" allowBlank="1" showInputMessage="1" showErrorMessage="1" sqref="P6:W6" xr:uid="{F9356A5F-603D-4875-8295-88D7538337B8}">
      <formula1>"ON,LIMITED,OFF"</formula1>
    </dataValidation>
  </dataValidations>
  <hyperlinks>
    <hyperlink ref="B36" r:id="rId1" display="http://www.wildcad.net/WCMT-MDC.htm" xr:uid="{6FD9F704-2ECE-48C7-B5E2-85A323EEDD2C}"/>
    <hyperlink ref="B36:L36" r:id="rId2" display="Daily Fire Danger Summary" xr:uid="{6DFF82B7-83B7-4BC7-8BF7-64BC27748CAA}"/>
  </hyperlinks>
  <pageMargins left="0.25" right="0.25" top="0.75" bottom="0.75" header="0.3" footer="0.3"/>
  <pageSetup scale="33" orientation="landscape" horizontalDpi="1200" verticalDpi="1200"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349713-24E1-432B-BEDD-D84819A0F05E}">
          <x14:formula1>
            <xm:f>'Picklist Tables'!$F$21:$F$27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B157"/>
  <sheetViews>
    <sheetView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164" sqref="E164"/>
    </sheetView>
  </sheetViews>
  <sheetFormatPr defaultColWidth="14.453125" defaultRowHeight="15" customHeight="1" x14ac:dyDescent="0.25"/>
  <cols>
    <col min="1" max="1" width="10.453125" style="89" customWidth="1"/>
    <col min="2" max="2" width="9.54296875" style="89" customWidth="1"/>
    <col min="3" max="3" width="7.453125" style="89" customWidth="1"/>
    <col min="4" max="4" width="12" style="89" customWidth="1"/>
    <col min="5" max="5" width="20.81640625" style="89" customWidth="1"/>
    <col min="6" max="6" width="12.81640625" style="89" customWidth="1"/>
    <col min="7" max="7" width="6" style="89" customWidth="1"/>
    <col min="8" max="8" width="24.453125" style="89" customWidth="1"/>
    <col min="9" max="9" width="17.54296875" style="89" customWidth="1"/>
    <col min="10" max="12" width="13.54296875" style="89" bestFit="1" customWidth="1"/>
    <col min="13" max="13" width="22.54296875" style="89" customWidth="1"/>
    <col min="14" max="14" width="13.54296875" style="89" bestFit="1" customWidth="1"/>
    <col min="15" max="15" width="12.1796875" style="89" bestFit="1" customWidth="1"/>
    <col min="16" max="16" width="20.7265625" style="89" bestFit="1" customWidth="1"/>
    <col min="17" max="17" width="13.54296875" style="89" customWidth="1"/>
    <col min="18" max="18" width="20.7265625" style="89" bestFit="1" customWidth="1"/>
    <col min="19" max="19" width="15.453125" style="89" bestFit="1" customWidth="1"/>
    <col min="20" max="20" width="8.453125" style="89" customWidth="1"/>
    <col min="21" max="22" width="12.453125" style="89" customWidth="1"/>
    <col min="23" max="23" width="15" style="89" bestFit="1" customWidth="1"/>
    <col min="24" max="24" width="14.1796875" style="89" customWidth="1"/>
    <col min="25" max="25" width="24.54296875" style="89" customWidth="1"/>
    <col min="26" max="26" width="16.81640625" style="89" customWidth="1"/>
    <col min="27" max="27" width="11.81640625" style="89" customWidth="1"/>
    <col min="28" max="28" width="10.81640625" style="89" customWidth="1"/>
    <col min="29" max="29" width="50" style="89" customWidth="1"/>
    <col min="30" max="30" width="12" style="89" customWidth="1"/>
    <col min="31" max="31" width="36.81640625" style="89" customWidth="1"/>
    <col min="32" max="32" width="18.453125" style="90" customWidth="1"/>
    <col min="33" max="33" width="14" style="89" customWidth="1"/>
    <col min="34" max="34" width="3.1796875" style="47" customWidth="1"/>
    <col min="35" max="35" width="12.1796875" style="47" customWidth="1"/>
    <col min="36" max="36" width="8.81640625" style="47" bestFit="1" customWidth="1"/>
    <col min="37" max="37" width="12.81640625" style="47" bestFit="1" customWidth="1"/>
    <col min="38" max="38" width="9.81640625" style="47" customWidth="1"/>
    <col min="39" max="39" width="12" style="47" bestFit="1" customWidth="1"/>
    <col min="40" max="40" width="9.54296875" style="47" customWidth="1"/>
    <col min="41" max="41" width="10" style="47" customWidth="1"/>
    <col min="42" max="42" width="12" style="47" bestFit="1" customWidth="1"/>
    <col min="43" max="43" width="4.453125" style="47" customWidth="1"/>
    <col min="44" max="44" width="24.453125" style="47" customWidth="1"/>
    <col min="45" max="45" width="10.453125" style="47" customWidth="1"/>
    <col min="46" max="46" width="12.453125" style="47" bestFit="1" customWidth="1"/>
    <col min="47" max="47" width="9.81640625" style="47" customWidth="1"/>
    <col min="48" max="48" width="10.7265625" style="47" customWidth="1"/>
    <col min="49" max="49" width="4.453125" style="47" customWidth="1"/>
    <col min="50" max="54" width="11.453125" style="47" customWidth="1"/>
    <col min="55" max="16384" width="14.453125" style="47"/>
  </cols>
  <sheetData>
    <row r="1" spans="1:54" ht="15" customHeight="1" thickBot="1" x14ac:dyDescent="0.3">
      <c r="A1" s="711"/>
      <c r="B1" s="712"/>
      <c r="C1" s="712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713"/>
      <c r="T1" s="713"/>
      <c r="U1" s="713"/>
      <c r="V1" s="713"/>
      <c r="W1" s="713"/>
      <c r="X1" s="713"/>
      <c r="Y1" s="713"/>
      <c r="Z1" s="713"/>
      <c r="AA1" s="713"/>
      <c r="AB1" s="713"/>
      <c r="AC1" s="713"/>
      <c r="AD1" s="713"/>
      <c r="AE1" s="713"/>
      <c r="AF1" s="713"/>
      <c r="AG1" s="49"/>
      <c r="AH1" s="48"/>
      <c r="AI1" s="48"/>
      <c r="AJ1" s="48"/>
      <c r="AK1" s="48"/>
      <c r="AL1" s="48"/>
      <c r="AM1" s="48"/>
      <c r="AN1" s="48"/>
      <c r="AO1" s="48"/>
      <c r="AP1" s="48"/>
      <c r="AQ1" s="48"/>
    </row>
    <row r="2" spans="1:54" ht="81" customHeight="1" thickBot="1" x14ac:dyDescent="0.3">
      <c r="A2" s="252" t="s">
        <v>16</v>
      </c>
      <c r="B2" s="253" t="s">
        <v>17</v>
      </c>
      <c r="C2" s="253" t="s">
        <v>128</v>
      </c>
      <c r="D2" s="253" t="s">
        <v>19</v>
      </c>
      <c r="E2" s="253" t="s">
        <v>20</v>
      </c>
      <c r="F2" s="253" t="s">
        <v>21</v>
      </c>
      <c r="G2" s="254" t="s">
        <v>22</v>
      </c>
      <c r="H2" s="253" t="s">
        <v>23</v>
      </c>
      <c r="I2" s="253" t="s">
        <v>129</v>
      </c>
      <c r="J2" s="253" t="s">
        <v>25</v>
      </c>
      <c r="K2" s="253" t="s">
        <v>26</v>
      </c>
      <c r="L2" s="253" t="s">
        <v>27</v>
      </c>
      <c r="M2" s="253" t="s">
        <v>28</v>
      </c>
      <c r="N2" s="253" t="s">
        <v>29</v>
      </c>
      <c r="O2" s="253" t="s">
        <v>130</v>
      </c>
      <c r="P2" s="253" t="s">
        <v>131</v>
      </c>
      <c r="Q2" s="253" t="s">
        <v>132</v>
      </c>
      <c r="R2" s="253" t="s">
        <v>133</v>
      </c>
      <c r="S2" s="253" t="s">
        <v>134</v>
      </c>
      <c r="T2" s="253" t="s">
        <v>35</v>
      </c>
      <c r="U2" s="253" t="s">
        <v>36</v>
      </c>
      <c r="V2" s="253" t="s">
        <v>37</v>
      </c>
      <c r="W2" s="253" t="s">
        <v>38</v>
      </c>
      <c r="X2" s="253" t="s">
        <v>39</v>
      </c>
      <c r="Y2" s="255" t="s">
        <v>40</v>
      </c>
      <c r="Z2" s="241" t="s">
        <v>135</v>
      </c>
      <c r="AA2" s="118" t="s">
        <v>136</v>
      </c>
      <c r="AB2" s="291" t="s">
        <v>137</v>
      </c>
      <c r="AC2" s="91" t="s">
        <v>138</v>
      </c>
      <c r="AD2" s="91" t="s">
        <v>139</v>
      </c>
      <c r="AE2" s="597" t="s">
        <v>140</v>
      </c>
      <c r="AF2" s="156" t="s">
        <v>141</v>
      </c>
      <c r="AG2" s="157" t="s">
        <v>142</v>
      </c>
      <c r="AH2" s="50"/>
      <c r="AI2" s="48"/>
      <c r="AJ2" s="48"/>
      <c r="AK2" s="48"/>
      <c r="AL2" s="48"/>
      <c r="AM2" s="48"/>
      <c r="AN2" s="48"/>
      <c r="AO2" s="48"/>
      <c r="AP2" s="48"/>
      <c r="AQ2" s="338"/>
    </row>
    <row r="3" spans="1:54" ht="15" customHeight="1" thickBot="1" x14ac:dyDescent="0.3">
      <c r="A3" s="242">
        <v>1</v>
      </c>
      <c r="B3" s="72" t="s">
        <v>143</v>
      </c>
      <c r="C3" s="71">
        <v>1</v>
      </c>
      <c r="D3" s="73">
        <v>45004</v>
      </c>
      <c r="E3" s="71" t="s">
        <v>144</v>
      </c>
      <c r="F3" s="71">
        <v>200062</v>
      </c>
      <c r="G3" s="71" t="s">
        <v>43</v>
      </c>
      <c r="H3" s="71" t="s">
        <v>52</v>
      </c>
      <c r="I3" s="525">
        <v>0.3</v>
      </c>
      <c r="J3" s="525">
        <v>0.3</v>
      </c>
      <c r="K3" s="525"/>
      <c r="L3" s="525"/>
      <c r="M3" s="74"/>
      <c r="N3" s="525"/>
      <c r="O3" s="525"/>
      <c r="P3" s="74"/>
      <c r="Q3" s="525"/>
      <c r="R3" s="74"/>
      <c r="S3" s="525"/>
      <c r="T3" s="154" t="str">
        <f t="shared" ref="T3:T37" si="0">IF($I3&lt;=0, " ",IF($I3&lt;=0.25, "A",IF($I3&lt;10, "B",IF($I3&lt;100, "C", IF($I3&lt;300, "D",IF($I3&lt;1000, "E",IF($I3&lt;5000,"F",IF($I3&gt;=5000, "G"))))))))</f>
        <v>B</v>
      </c>
      <c r="U3" s="71" t="s">
        <v>43</v>
      </c>
      <c r="V3" s="71" t="s">
        <v>47</v>
      </c>
      <c r="W3" s="71" t="s">
        <v>67</v>
      </c>
      <c r="X3" s="73">
        <v>45005</v>
      </c>
      <c r="Y3" s="243" t="s">
        <v>145</v>
      </c>
      <c r="Z3" s="76" t="s">
        <v>43</v>
      </c>
      <c r="AA3" s="71" t="s">
        <v>107</v>
      </c>
      <c r="AB3" s="71" t="s">
        <v>107</v>
      </c>
      <c r="AC3" s="71"/>
      <c r="AD3" s="76"/>
      <c r="AE3" s="598"/>
      <c r="AF3" s="75" t="s">
        <v>146</v>
      </c>
      <c r="AG3" s="71"/>
      <c r="AH3" s="14"/>
      <c r="AI3" s="744" t="s">
        <v>147</v>
      </c>
      <c r="AJ3" s="745"/>
      <c r="AK3" s="745"/>
      <c r="AL3" s="745"/>
      <c r="AM3" s="745"/>
      <c r="AN3" s="745"/>
      <c r="AO3" s="745"/>
      <c r="AP3" s="746"/>
      <c r="AQ3" s="106"/>
      <c r="AR3" s="698" t="s">
        <v>148</v>
      </c>
      <c r="AS3" s="699"/>
      <c r="AT3" s="699"/>
      <c r="AU3" s="699"/>
      <c r="AV3" s="700"/>
      <c r="AW3" s="6"/>
      <c r="AX3" s="759" t="s">
        <v>149</v>
      </c>
      <c r="AY3" s="760"/>
      <c r="AZ3" s="760"/>
      <c r="BA3" s="760"/>
      <c r="BB3" s="761"/>
    </row>
    <row r="4" spans="1:54" ht="15" customHeight="1" thickBot="1" x14ac:dyDescent="0.3">
      <c r="A4" s="244">
        <v>2</v>
      </c>
      <c r="B4" s="78" t="s">
        <v>143</v>
      </c>
      <c r="C4" s="77">
        <v>2</v>
      </c>
      <c r="D4" s="79">
        <v>45020</v>
      </c>
      <c r="E4" s="77" t="s">
        <v>150</v>
      </c>
      <c r="F4" s="77">
        <v>200096</v>
      </c>
      <c r="G4" s="77" t="s">
        <v>43</v>
      </c>
      <c r="H4" s="77" t="s">
        <v>151</v>
      </c>
      <c r="I4" s="526">
        <v>0.36</v>
      </c>
      <c r="J4" s="526"/>
      <c r="K4" s="526">
        <v>0.36</v>
      </c>
      <c r="L4" s="526"/>
      <c r="M4" s="80"/>
      <c r="N4" s="526"/>
      <c r="O4" s="526"/>
      <c r="P4" s="80"/>
      <c r="Q4" s="526"/>
      <c r="R4" s="80"/>
      <c r="S4" s="526"/>
      <c r="T4" s="119" t="str">
        <f t="shared" si="0"/>
        <v>B</v>
      </c>
      <c r="U4" s="77" t="s">
        <v>43</v>
      </c>
      <c r="V4" s="77" t="s">
        <v>47</v>
      </c>
      <c r="W4" s="77" t="s">
        <v>67</v>
      </c>
      <c r="X4" s="79">
        <v>45027</v>
      </c>
      <c r="Y4" s="245" t="s">
        <v>152</v>
      </c>
      <c r="Z4" s="82" t="s">
        <v>43</v>
      </c>
      <c r="AA4" s="77" t="s">
        <v>107</v>
      </c>
      <c r="AB4" s="77" t="s">
        <v>107</v>
      </c>
      <c r="AC4" s="77"/>
      <c r="AD4" s="82"/>
      <c r="AE4" s="599"/>
      <c r="AF4" s="81" t="s">
        <v>153</v>
      </c>
      <c r="AG4" s="77"/>
      <c r="AH4" s="14"/>
      <c r="AI4" s="724"/>
      <c r="AJ4" s="720" t="s">
        <v>154</v>
      </c>
      <c r="AK4" s="717" t="s">
        <v>155</v>
      </c>
      <c r="AL4" s="741" t="s">
        <v>156</v>
      </c>
      <c r="AM4" s="714" t="s">
        <v>157</v>
      </c>
      <c r="AN4" s="714" t="s">
        <v>158</v>
      </c>
      <c r="AO4" s="714" t="s">
        <v>159</v>
      </c>
      <c r="AP4" s="717" t="s">
        <v>160</v>
      </c>
      <c r="AQ4" s="647"/>
      <c r="AR4" s="749" t="s">
        <v>161</v>
      </c>
      <c r="AS4" s="750"/>
      <c r="AT4" s="750"/>
      <c r="AU4" s="750"/>
      <c r="AV4" s="751"/>
      <c r="AW4" s="6"/>
      <c r="AX4" s="762"/>
      <c r="AY4" s="763"/>
      <c r="AZ4" s="763"/>
      <c r="BA4" s="763"/>
      <c r="BB4" s="764"/>
    </row>
    <row r="5" spans="1:54" ht="15" customHeight="1" thickBot="1" x14ac:dyDescent="0.3">
      <c r="A5" s="242">
        <v>3</v>
      </c>
      <c r="B5" s="78" t="s">
        <v>143</v>
      </c>
      <c r="C5" s="77">
        <v>3</v>
      </c>
      <c r="D5" s="79">
        <v>45025</v>
      </c>
      <c r="E5" s="77" t="s">
        <v>162</v>
      </c>
      <c r="F5" s="77">
        <v>200111</v>
      </c>
      <c r="G5" s="77" t="s">
        <v>43</v>
      </c>
      <c r="H5" s="77" t="s">
        <v>163</v>
      </c>
      <c r="I5" s="526">
        <v>2</v>
      </c>
      <c r="J5" s="526"/>
      <c r="K5" s="526"/>
      <c r="L5" s="526"/>
      <c r="M5" s="80" t="s">
        <v>163</v>
      </c>
      <c r="N5" s="526">
        <v>2</v>
      </c>
      <c r="O5" s="526"/>
      <c r="P5" s="80"/>
      <c r="Q5" s="526"/>
      <c r="R5" s="80"/>
      <c r="S5" s="526"/>
      <c r="T5" s="119" t="str">
        <f t="shared" si="0"/>
        <v>B</v>
      </c>
      <c r="U5" s="77" t="s">
        <v>43</v>
      </c>
      <c r="V5" s="77" t="s">
        <v>47</v>
      </c>
      <c r="W5" s="77" t="s">
        <v>67</v>
      </c>
      <c r="X5" s="79">
        <v>45029</v>
      </c>
      <c r="Y5" s="245" t="s">
        <v>164</v>
      </c>
      <c r="Z5" s="82" t="s">
        <v>43</v>
      </c>
      <c r="AA5" s="77" t="s">
        <v>107</v>
      </c>
      <c r="AB5" s="77" t="s">
        <v>107</v>
      </c>
      <c r="AC5" s="77"/>
      <c r="AD5" s="82"/>
      <c r="AE5" s="599"/>
      <c r="AF5" s="81" t="s">
        <v>165</v>
      </c>
      <c r="AG5" s="77"/>
      <c r="AH5" s="14"/>
      <c r="AI5" s="724"/>
      <c r="AJ5" s="721"/>
      <c r="AK5" s="718"/>
      <c r="AL5" s="742"/>
      <c r="AM5" s="715"/>
      <c r="AN5" s="715"/>
      <c r="AO5" s="715"/>
      <c r="AP5" s="718"/>
      <c r="AQ5" s="647"/>
      <c r="AR5" s="755" t="s">
        <v>166</v>
      </c>
      <c r="AS5" s="752" t="s">
        <v>167</v>
      </c>
      <c r="AT5" s="753"/>
      <c r="AU5" s="754" t="s">
        <v>168</v>
      </c>
      <c r="AV5" s="753"/>
      <c r="AW5" s="6"/>
      <c r="AX5" s="765" t="s">
        <v>169</v>
      </c>
      <c r="AY5" s="766"/>
      <c r="AZ5" s="766"/>
      <c r="BA5" s="766"/>
      <c r="BB5" s="767"/>
    </row>
    <row r="6" spans="1:54" ht="15" customHeight="1" thickBot="1" x14ac:dyDescent="0.3">
      <c r="A6" s="244">
        <v>4</v>
      </c>
      <c r="B6" s="78" t="s">
        <v>41</v>
      </c>
      <c r="C6" s="77">
        <v>1</v>
      </c>
      <c r="D6" s="79">
        <v>45026</v>
      </c>
      <c r="E6" s="77" t="s">
        <v>170</v>
      </c>
      <c r="F6" s="77">
        <v>200113</v>
      </c>
      <c r="G6" s="77" t="s">
        <v>43</v>
      </c>
      <c r="H6" s="77" t="s">
        <v>44</v>
      </c>
      <c r="I6" s="526">
        <v>0.5</v>
      </c>
      <c r="J6" s="526"/>
      <c r="K6" s="526"/>
      <c r="L6" s="526"/>
      <c r="M6" s="80" t="s">
        <v>44</v>
      </c>
      <c r="N6" s="526">
        <v>0.5</v>
      </c>
      <c r="O6" s="526"/>
      <c r="P6" s="80"/>
      <c r="Q6" s="526"/>
      <c r="R6" s="80"/>
      <c r="S6" s="526"/>
      <c r="T6" s="119" t="str">
        <f t="shared" si="0"/>
        <v>B</v>
      </c>
      <c r="U6" s="77" t="s">
        <v>43</v>
      </c>
      <c r="V6" s="77" t="s">
        <v>47</v>
      </c>
      <c r="W6" s="77" t="s">
        <v>67</v>
      </c>
      <c r="X6" s="79">
        <v>45042</v>
      </c>
      <c r="Y6" s="245" t="s">
        <v>164</v>
      </c>
      <c r="Z6" s="82" t="s">
        <v>43</v>
      </c>
      <c r="AA6" s="77" t="s">
        <v>107</v>
      </c>
      <c r="AB6" s="77" t="s">
        <v>107</v>
      </c>
      <c r="AC6" s="77"/>
      <c r="AD6" s="82"/>
      <c r="AE6" s="599"/>
      <c r="AF6" s="81" t="s">
        <v>171</v>
      </c>
      <c r="AG6" s="77"/>
      <c r="AH6" s="14"/>
      <c r="AI6" s="725"/>
      <c r="AJ6" s="722"/>
      <c r="AK6" s="723"/>
      <c r="AL6" s="743"/>
      <c r="AM6" s="716"/>
      <c r="AN6" s="716"/>
      <c r="AO6" s="716"/>
      <c r="AP6" s="719"/>
      <c r="AQ6" s="647"/>
      <c r="AR6" s="756"/>
      <c r="AS6" s="161" t="s">
        <v>172</v>
      </c>
      <c r="AT6" s="162" t="s">
        <v>173</v>
      </c>
      <c r="AU6" s="163" t="s">
        <v>172</v>
      </c>
      <c r="AV6" s="162" t="s">
        <v>173</v>
      </c>
      <c r="AW6" s="6"/>
      <c r="AX6" s="706" t="s">
        <v>166</v>
      </c>
      <c r="AY6" s="704" t="s">
        <v>167</v>
      </c>
      <c r="AZ6" s="705"/>
      <c r="BA6" s="704" t="s">
        <v>168</v>
      </c>
      <c r="BB6" s="705"/>
    </row>
    <row r="7" spans="1:54" ht="15" customHeight="1" thickBot="1" x14ac:dyDescent="0.3">
      <c r="A7" s="242">
        <v>5</v>
      </c>
      <c r="B7" s="78" t="s">
        <v>41</v>
      </c>
      <c r="C7" s="77">
        <v>2</v>
      </c>
      <c r="D7" s="79">
        <v>45026</v>
      </c>
      <c r="E7" s="77" t="s">
        <v>174</v>
      </c>
      <c r="F7" s="77">
        <v>200117</v>
      </c>
      <c r="G7" s="77" t="s">
        <v>43</v>
      </c>
      <c r="H7" s="77" t="s">
        <v>151</v>
      </c>
      <c r="I7" s="526">
        <v>5</v>
      </c>
      <c r="J7" s="526"/>
      <c r="K7" s="526">
        <v>5</v>
      </c>
      <c r="L7" s="526"/>
      <c r="M7" s="80"/>
      <c r="N7" s="526"/>
      <c r="O7" s="526"/>
      <c r="P7" s="80"/>
      <c r="Q7" s="526"/>
      <c r="R7" s="80"/>
      <c r="S7" s="526"/>
      <c r="T7" s="119" t="str">
        <f t="shared" si="0"/>
        <v>B</v>
      </c>
      <c r="U7" s="77" t="s">
        <v>43</v>
      </c>
      <c r="V7" s="77" t="s">
        <v>47</v>
      </c>
      <c r="W7" s="77" t="s">
        <v>67</v>
      </c>
      <c r="X7" s="79">
        <v>45042</v>
      </c>
      <c r="Y7" s="245" t="s">
        <v>175</v>
      </c>
      <c r="Z7" s="82" t="s">
        <v>43</v>
      </c>
      <c r="AA7" s="77" t="s">
        <v>107</v>
      </c>
      <c r="AB7" s="83" t="s">
        <v>107</v>
      </c>
      <c r="AC7" s="77"/>
      <c r="AD7" s="82"/>
      <c r="AE7" s="599"/>
      <c r="AF7" s="84" t="s">
        <v>171</v>
      </c>
      <c r="AG7" s="77"/>
      <c r="AH7" s="14"/>
      <c r="AI7" s="282" t="s">
        <v>167</v>
      </c>
      <c r="AJ7" s="285">
        <f>COUNTIFS($V$3:$V$157, "H", $AA$3:$AA$157, "Y")</f>
        <v>47</v>
      </c>
      <c r="AK7" s="506">
        <f>SUMIFS($I$3:$I$157,$V$3:$V$157, "H",$AA$3:$AA$157,"Y")</f>
        <v>17414.809999999987</v>
      </c>
      <c r="AL7" s="340">
        <f>COUNTIFS($J$3:$J$157,"&lt;&gt;",$AA$3:$AA$157, "Y",$V$3:$V$157,"H")</f>
        <v>24</v>
      </c>
      <c r="AM7" s="499">
        <f>SUMIFS($J$3:$J$157,$V$3:$V$157, "H",$AA$3:$AA$157,"y")</f>
        <v>7489.5000000000018</v>
      </c>
      <c r="AN7" s="499">
        <f>SUMIFS($K$3:$K$157,$V$3:$V$157, "H",$AA$3:$AA$157,"Y")</f>
        <v>21.71</v>
      </c>
      <c r="AO7" s="499">
        <f>SUMIFS($L$3:$L$157,$V$3:$V$157, "H",$AA$3:$AA$157,"Y")</f>
        <v>0</v>
      </c>
      <c r="AP7" s="500">
        <f>SUMIFS($N$3:$N$157,$V$3:$V$157, "H",$AA$3:$AA$157,"Y")</f>
        <v>8278.6000000000022</v>
      </c>
      <c r="AQ7" s="339"/>
      <c r="AR7" s="164" t="s">
        <v>65</v>
      </c>
      <c r="AS7" s="165">
        <f>COUNTIFS($AA$3:$AA$157,"Y",$V$3:$V$157,"H",$B$3:$B$157,$AR7)</f>
        <v>3</v>
      </c>
      <c r="AT7" s="498">
        <f>SUMIFS($I$3:$I$157,$B$3:$B$157,$AR7,$AA$3:$AA$157,"Y",$V$3:$V$157,"H")</f>
        <v>0.30000000000000004</v>
      </c>
      <c r="AU7" s="167">
        <f>COUNTIFS($AA$3:$AA$157,"Y",$V$3:$V$157,"L",$B$3:$B$157,$AR7)</f>
        <v>2</v>
      </c>
      <c r="AV7" s="498">
        <f>SUMIFS($I$3:$I$157,$B$3:$B$157,$AR7,$AA$3:$AA$157,"Y",$V$3:$V$157,"L")</f>
        <v>0.2</v>
      </c>
      <c r="AW7" s="6"/>
      <c r="AX7" s="707"/>
      <c r="AY7" s="168" t="s">
        <v>172</v>
      </c>
      <c r="AZ7" s="169" t="s">
        <v>173</v>
      </c>
      <c r="BA7" s="163" t="s">
        <v>172</v>
      </c>
      <c r="BB7" s="162" t="s">
        <v>173</v>
      </c>
    </row>
    <row r="8" spans="1:54" ht="15" customHeight="1" thickBot="1" x14ac:dyDescent="0.3">
      <c r="A8" s="244">
        <v>6</v>
      </c>
      <c r="B8" s="78" t="s">
        <v>50</v>
      </c>
      <c r="C8" s="77">
        <v>1</v>
      </c>
      <c r="D8" s="79">
        <v>45027</v>
      </c>
      <c r="E8" s="77" t="s">
        <v>176</v>
      </c>
      <c r="F8" s="77">
        <v>200122</v>
      </c>
      <c r="G8" s="77" t="s">
        <v>43</v>
      </c>
      <c r="H8" s="77" t="s">
        <v>151</v>
      </c>
      <c r="I8" s="526">
        <v>0.25</v>
      </c>
      <c r="J8" s="526"/>
      <c r="K8" s="526">
        <v>0.25</v>
      </c>
      <c r="L8" s="526"/>
      <c r="M8" s="80"/>
      <c r="N8" s="526"/>
      <c r="O8" s="526"/>
      <c r="P8" s="80"/>
      <c r="Q8" s="526"/>
      <c r="R8" s="80"/>
      <c r="S8" s="526"/>
      <c r="T8" s="119" t="str">
        <f t="shared" si="0"/>
        <v>A</v>
      </c>
      <c r="U8" s="77" t="s">
        <v>43</v>
      </c>
      <c r="V8" s="77" t="s">
        <v>47</v>
      </c>
      <c r="W8" s="77" t="s">
        <v>67</v>
      </c>
      <c r="X8" s="79">
        <v>45027</v>
      </c>
      <c r="Y8" s="245" t="s">
        <v>177</v>
      </c>
      <c r="Z8" s="82" t="s">
        <v>43</v>
      </c>
      <c r="AA8" s="77" t="s">
        <v>107</v>
      </c>
      <c r="AB8" s="77" t="s">
        <v>107</v>
      </c>
      <c r="AC8" s="77"/>
      <c r="AD8" s="82"/>
      <c r="AE8" s="599"/>
      <c r="AF8" s="81" t="s">
        <v>153</v>
      </c>
      <c r="AG8" s="77"/>
      <c r="AH8" s="14"/>
      <c r="AI8" s="158" t="s">
        <v>168</v>
      </c>
      <c r="AJ8" s="283">
        <f>COUNTIFS($V$3:$V$157, "L", $AA$3:$AA$157, "Y")</f>
        <v>23</v>
      </c>
      <c r="AK8" s="507">
        <f>SUMIFS($I$3:$I$157,$V$3:$V$157, "L", $AA$3:$AA$157,"Y")</f>
        <v>163.86</v>
      </c>
      <c r="AL8" s="341">
        <f>COUNTIFS($J$3:$J$157,"&lt;&gt;",$AA$3:$AA$157, "Y",$V$3:$V$157,"L")</f>
        <v>16</v>
      </c>
      <c r="AM8" s="501">
        <f>SUMIFS($J$3:$J$157,$V$3:$V$157, "L",$AA$3:$AA$157,"y")</f>
        <v>163.01</v>
      </c>
      <c r="AN8" s="501">
        <f>SUMIFS($K$3:$K$157,$V$3:$V$157, "L",$AA$3:$AA$157,"Y")</f>
        <v>0.35</v>
      </c>
      <c r="AO8" s="501">
        <f>SUMIFS($L$3:$L$157,$V$3:$V$157, "L",$AA$3:$AA$157,"Y")</f>
        <v>0</v>
      </c>
      <c r="AP8" s="502">
        <f>SUMIFS($N$3:$N$157,$V$3:$V$157, "L",$AA$3:$AA$157,"Y")</f>
        <v>0.5</v>
      </c>
      <c r="AQ8" s="339"/>
      <c r="AR8" s="170" t="s">
        <v>50</v>
      </c>
      <c r="AS8" s="171">
        <f>COUNTIFS($AA$3:$AA$157,"Y",$V$3:$V$157,"H",$B$3:$B$157,$AR8)</f>
        <v>10</v>
      </c>
      <c r="AT8" s="509">
        <f>SUMIFS($I$3:$I$157,$B$3:$B$157,$AR8,$AA$3:$AA$157,"Y",$V$3:$V$157,"H")</f>
        <v>3.6000000000000005</v>
      </c>
      <c r="AU8" s="173">
        <f>COUNTIFS($AA$3:$AA$157,"Y",$V$3:$V$157,"L",$B$3:$B$157,$AR8)</f>
        <v>5</v>
      </c>
      <c r="AV8" s="509">
        <f>SUMIFS($I$3:$I$157,$B$3:$B$157,$AR8,$AA$3:$AA$157,"Y",$V$3:$V$157,"L")</f>
        <v>159.05000000000001</v>
      </c>
      <c r="AW8" s="6"/>
      <c r="AX8" s="164" t="s">
        <v>65</v>
      </c>
      <c r="AY8" s="165">
        <f>COUNTIFS($G$3:$G$157, "Y",$B$3:$B$157, $AX8, $AA$3:$AA$157, "Y",$V$3:$V$157,"H")</f>
        <v>0</v>
      </c>
      <c r="AZ8" s="498">
        <f>SUMIFS($I$3:$I$157, $G$3:$G$157, "Y",$B$3:$B$157,$AX8,$AA$3:$AA$157,"Y",$V$3:$V$157,"H")</f>
        <v>0</v>
      </c>
      <c r="BA8" s="167">
        <f>COUNTIFS($G$3:$G$157, "Y",$B$3:$B$157, $AX8, $AA$3:$AA$157, "Y",$V$3:$V$157,"L")</f>
        <v>0</v>
      </c>
      <c r="BB8" s="498">
        <f>SUMIFS($I$3:$I$157, $G$3:$G$157, "Y",$B$3:$B$157,$AX8,$AA$3:$AA$157,"Y",$V$3:$V$157,"L")</f>
        <v>0</v>
      </c>
    </row>
    <row r="9" spans="1:54" ht="15" customHeight="1" thickTop="1" thickBot="1" x14ac:dyDescent="0.3">
      <c r="A9" s="242">
        <v>7</v>
      </c>
      <c r="B9" s="78" t="s">
        <v>143</v>
      </c>
      <c r="C9" s="77">
        <v>4</v>
      </c>
      <c r="D9" s="79">
        <v>45031</v>
      </c>
      <c r="E9" s="77" t="s">
        <v>178</v>
      </c>
      <c r="F9" s="77">
        <v>200139</v>
      </c>
      <c r="G9" s="77" t="s">
        <v>43</v>
      </c>
      <c r="H9" s="77" t="s">
        <v>52</v>
      </c>
      <c r="I9" s="526">
        <v>1</v>
      </c>
      <c r="J9" s="526">
        <v>1</v>
      </c>
      <c r="K9" s="526"/>
      <c r="L9" s="526"/>
      <c r="M9" s="80"/>
      <c r="N9" s="526"/>
      <c r="O9" s="526"/>
      <c r="P9" s="80"/>
      <c r="Q9" s="526"/>
      <c r="R9" s="80"/>
      <c r="S9" s="526"/>
      <c r="T9" s="119" t="str">
        <f t="shared" si="0"/>
        <v>B</v>
      </c>
      <c r="U9" s="77" t="s">
        <v>43</v>
      </c>
      <c r="V9" s="77" t="s">
        <v>47</v>
      </c>
      <c r="W9" s="77" t="s">
        <v>67</v>
      </c>
      <c r="X9" s="79">
        <v>45042</v>
      </c>
      <c r="Y9" s="245" t="s">
        <v>179</v>
      </c>
      <c r="Z9" s="82" t="s">
        <v>43</v>
      </c>
      <c r="AA9" s="77" t="s">
        <v>107</v>
      </c>
      <c r="AB9" s="77" t="s">
        <v>107</v>
      </c>
      <c r="AC9" s="77"/>
      <c r="AD9" s="82"/>
      <c r="AE9" s="599"/>
      <c r="AF9" s="84" t="s">
        <v>180</v>
      </c>
      <c r="AG9" s="77"/>
      <c r="AH9" s="14"/>
      <c r="AI9" s="160" t="s">
        <v>181</v>
      </c>
      <c r="AJ9" s="284">
        <f>AJ8+AJ7</f>
        <v>70</v>
      </c>
      <c r="AK9" s="508">
        <f t="shared" ref="AK9:AP9" si="1">AK8+AK7</f>
        <v>17578.669999999987</v>
      </c>
      <c r="AL9" s="342">
        <f>AL8+AL7</f>
        <v>40</v>
      </c>
      <c r="AM9" s="503">
        <f t="shared" si="1"/>
        <v>7652.510000000002</v>
      </c>
      <c r="AN9" s="504">
        <f t="shared" si="1"/>
        <v>22.060000000000002</v>
      </c>
      <c r="AO9" s="504">
        <f t="shared" si="1"/>
        <v>0</v>
      </c>
      <c r="AP9" s="505">
        <f t="shared" si="1"/>
        <v>8279.1000000000022</v>
      </c>
      <c r="AQ9" s="103"/>
      <c r="AR9" s="170" t="s">
        <v>41</v>
      </c>
      <c r="AS9" s="171">
        <f>COUNTIFS($AA$3:$AA$157,"Y",$V$3:$V$157,"H",$B$3:$B$157,$AR9)</f>
        <v>14</v>
      </c>
      <c r="AT9" s="509">
        <f>SUMIFS($I$3:$I$157,$B$3:$B$157,$AR9,$AA$3:$AA$157,"Y",$V$3:$V$157,"H")</f>
        <v>17359.849999999999</v>
      </c>
      <c r="AU9" s="173">
        <f>COUNTIFS($AA$3:$AA$157,"Y",$V$3:$V$157,"L",$B$3:$B$157,$AR9)</f>
        <v>8</v>
      </c>
      <c r="AV9" s="509">
        <f>SUMIFS($I$3:$I$157,$B$3:$B$157,$AR9,$AA$3:$AA$157,"Y",$V$3:$V$157,"L")</f>
        <v>3.61</v>
      </c>
      <c r="AW9" s="6"/>
      <c r="AX9" s="170" t="s">
        <v>50</v>
      </c>
      <c r="AY9" s="171">
        <f>COUNTIFS($G$3:$G$157, "Y",$B$3:$B$157, $AX9, $AA$3:$AA$157, "Y",$V$3:$V$157,"H")</f>
        <v>0</v>
      </c>
      <c r="AZ9" s="509">
        <f>SUMIFS($I$3:$I$157, $G$3:$G$157, "Y",$B$3:$B$157,$AX9,$AA$3:$AA$157,"Y",$V$3:$V$157,"H")</f>
        <v>0</v>
      </c>
      <c r="BA9" s="173">
        <f>COUNTIFS($G$3:$G$157, "Y",$B$3:$B$157, $AX9, $AA$3:$AA$157, "Y",$V$3:$V$157,"L")</f>
        <v>0</v>
      </c>
      <c r="BB9" s="509">
        <f>SUMIFS($I$3:$I$157, $G$3:$G$157, "Y",$B$3:$B$157,$AX9,$AA$3:$AA$157,"Y",$V$3:$V$157,"L")</f>
        <v>0</v>
      </c>
    </row>
    <row r="10" spans="1:54" ht="15" customHeight="1" x14ac:dyDescent="0.25">
      <c r="A10" s="244">
        <v>8</v>
      </c>
      <c r="B10" s="78" t="s">
        <v>143</v>
      </c>
      <c r="C10" s="77">
        <v>5</v>
      </c>
      <c r="D10" s="79">
        <v>45032</v>
      </c>
      <c r="E10" s="77" t="s">
        <v>182</v>
      </c>
      <c r="F10" s="77">
        <v>200143</v>
      </c>
      <c r="G10" s="77" t="s">
        <v>43</v>
      </c>
      <c r="H10" s="77" t="s">
        <v>52</v>
      </c>
      <c r="I10" s="526">
        <v>2</v>
      </c>
      <c r="J10" s="526">
        <v>2</v>
      </c>
      <c r="K10" s="526"/>
      <c r="L10" s="526"/>
      <c r="M10" s="80"/>
      <c r="N10" s="526"/>
      <c r="O10" s="526"/>
      <c r="P10" s="80"/>
      <c r="Q10" s="526"/>
      <c r="R10" s="80"/>
      <c r="S10" s="526"/>
      <c r="T10" s="119" t="str">
        <f t="shared" si="0"/>
        <v>B</v>
      </c>
      <c r="U10" s="77" t="s">
        <v>43</v>
      </c>
      <c r="V10" s="77" t="s">
        <v>47</v>
      </c>
      <c r="W10" s="77" t="s">
        <v>67</v>
      </c>
      <c r="X10" s="79">
        <v>45042</v>
      </c>
      <c r="Y10" s="245" t="s">
        <v>183</v>
      </c>
      <c r="Z10" s="82" t="s">
        <v>43</v>
      </c>
      <c r="AA10" s="77" t="s">
        <v>107</v>
      </c>
      <c r="AB10" s="77" t="s">
        <v>107</v>
      </c>
      <c r="AC10" s="77"/>
      <c r="AD10" s="82"/>
      <c r="AE10" s="599"/>
      <c r="AF10" s="81" t="s">
        <v>180</v>
      </c>
      <c r="AG10" s="77"/>
      <c r="AH10" s="14"/>
      <c r="AI10" s="12"/>
      <c r="AJ10" s="51"/>
      <c r="AK10" s="92"/>
      <c r="AL10" s="92"/>
      <c r="AM10" s="51"/>
      <c r="AN10" s="12"/>
      <c r="AO10" s="12"/>
      <c r="AP10" s="12"/>
      <c r="AQ10" s="12"/>
      <c r="AR10" s="170" t="s">
        <v>56</v>
      </c>
      <c r="AS10" s="171">
        <f>COUNTIFS($AA$3:$AA$157,"Y",$V$3:$V$157,"H",$B$3:$B$157,$AR10)</f>
        <v>2</v>
      </c>
      <c r="AT10" s="509">
        <f>SUMIFS($I$3:$I$157,$B$3:$B$157,$AR10,$AA$3:$AA$157,"Y",$V$3:$V$157,"H")</f>
        <v>0.2</v>
      </c>
      <c r="AU10" s="173">
        <f>COUNTIFS($AA$3:$AA$157,"Y",$V$3:$V$157,"L",$B$3:$B$157,$AR10)</f>
        <v>0</v>
      </c>
      <c r="AV10" s="509">
        <f>SUMIFS($I$3:$I$157,$B$3:$B$157,$AR10,$AA$3:$AA$157,"Y",$V$3:$V$157,"L")</f>
        <v>0</v>
      </c>
      <c r="AW10" s="6"/>
      <c r="AX10" s="170" t="s">
        <v>41</v>
      </c>
      <c r="AY10" s="171">
        <f>COUNTIFS($G$3:$G$157, "Y",$B$3:$B$157, $AX10, $AA$3:$AA$157, "Y",$V$3:$V$157,"H")</f>
        <v>0</v>
      </c>
      <c r="AZ10" s="509">
        <f>SUMIFS($I$3:$I$157, $G$3:$G$157, "Y",$B$3:$B$157,$AX10,$AA$3:$AA$157,"Y",$V$3:$V$157,"H")</f>
        <v>0</v>
      </c>
      <c r="BA10" s="173">
        <f>COUNTIFS($G$3:$G$157, "Y",$B$3:$B$157, $AX10, $AA$3:$AA$157, "Y",$V$3:$V$157,"L")</f>
        <v>0</v>
      </c>
      <c r="BB10" s="509">
        <f>SUMIFS($I$3:$I$157, $G$3:$G$157, "Y",$B$3:$B$157,$AX10,$AA$3:$AA$157,"Y",$V$3:$V$157,"L")</f>
        <v>0</v>
      </c>
    </row>
    <row r="11" spans="1:54" ht="15" customHeight="1" thickBot="1" x14ac:dyDescent="0.3">
      <c r="A11" s="242">
        <v>9</v>
      </c>
      <c r="B11" s="78" t="s">
        <v>143</v>
      </c>
      <c r="C11" s="77">
        <v>6</v>
      </c>
      <c r="D11" s="79">
        <v>45032</v>
      </c>
      <c r="E11" s="77" t="s">
        <v>184</v>
      </c>
      <c r="F11" s="77">
        <v>200145</v>
      </c>
      <c r="G11" s="77" t="s">
        <v>43</v>
      </c>
      <c r="H11" s="77" t="s">
        <v>163</v>
      </c>
      <c r="I11" s="526">
        <v>0.1</v>
      </c>
      <c r="J11" s="526"/>
      <c r="K11" s="526"/>
      <c r="L11" s="526"/>
      <c r="M11" s="80" t="s">
        <v>163</v>
      </c>
      <c r="N11" s="526">
        <v>0.1</v>
      </c>
      <c r="O11" s="526"/>
      <c r="P11" s="80"/>
      <c r="Q11" s="526"/>
      <c r="R11" s="80"/>
      <c r="S11" s="526"/>
      <c r="T11" s="119" t="str">
        <f t="shared" si="0"/>
        <v>A</v>
      </c>
      <c r="U11" s="77" t="s">
        <v>43</v>
      </c>
      <c r="V11" s="77" t="s">
        <v>47</v>
      </c>
      <c r="W11" s="77" t="s">
        <v>67</v>
      </c>
      <c r="X11" s="79">
        <v>45042</v>
      </c>
      <c r="Y11" s="245" t="s">
        <v>185</v>
      </c>
      <c r="Z11" s="82" t="s">
        <v>43</v>
      </c>
      <c r="AA11" s="77" t="s">
        <v>107</v>
      </c>
      <c r="AB11" s="77" t="s">
        <v>107</v>
      </c>
      <c r="AC11" s="77"/>
      <c r="AD11" s="82"/>
      <c r="AE11" s="600"/>
      <c r="AF11" s="84" t="s">
        <v>180</v>
      </c>
      <c r="AG11" s="77"/>
      <c r="AH11" s="14"/>
      <c r="AI11" s="12"/>
      <c r="AJ11" s="51"/>
      <c r="AK11" s="92"/>
      <c r="AL11" s="92"/>
      <c r="AM11" s="51"/>
      <c r="AN11" s="12"/>
      <c r="AO11" s="12"/>
      <c r="AP11" s="12"/>
      <c r="AQ11" s="12"/>
      <c r="AR11" s="174" t="s">
        <v>143</v>
      </c>
      <c r="AS11" s="175">
        <f>COUNTIFS($AA$3:$AA$157,"Y",$V$3:$V$157,"H",$B$3:$B$157,$AR11)</f>
        <v>18</v>
      </c>
      <c r="AT11" s="510">
        <f>SUMIFS($I$3:$I$157,$B$3:$B$157,$AR11,$AA$3:$AA$157,"Y",$V$3:$V$157,"H")</f>
        <v>50.860000000000014</v>
      </c>
      <c r="AU11" s="177">
        <f>COUNTIFS($AA$3:$AA$157,"Y",$V$3:$V$157,"L",$B$3:$B$157,$AR11)</f>
        <v>8</v>
      </c>
      <c r="AV11" s="510">
        <f>SUMIFS($I$3:$I$157,$B$3:$B$157,$AR11,$AA$3:$AA$157,"Y",$V$3:$V$157,"L")</f>
        <v>0.99999999999999989</v>
      </c>
      <c r="AW11" s="6"/>
      <c r="AX11" s="170" t="s">
        <v>56</v>
      </c>
      <c r="AY11" s="171">
        <f>COUNTIFS($G$3:$G$157, "Y",$B$3:$B$157, $AX11, $AA$3:$AA$157, "Y",$V$3:$V$157,"H")</f>
        <v>0</v>
      </c>
      <c r="AZ11" s="509">
        <f>SUMIFS($I$3:$I$157, $G$3:$G$157, "Y",$B$3:$B$157,$AX11,$AA$3:$AA$157,"Y",$V$3:$V$157,"H")</f>
        <v>0</v>
      </c>
      <c r="BA11" s="173">
        <f>COUNTIFS($G$3:$G$157, "Y",$B$3:$B$157, $AX11, $AA$3:$AA$157, "Y",$V$3:$V$157,"L")</f>
        <v>0</v>
      </c>
      <c r="BB11" s="509">
        <f>SUMIFS($I$3:$I$157, $G$3:$G$157, "Y",$B$3:$B$157,$AX11,$AA$3:$AA$157,"Y",$V$3:$V$157,"L")</f>
        <v>0</v>
      </c>
    </row>
    <row r="12" spans="1:54" ht="15" customHeight="1" thickTop="1" thickBot="1" x14ac:dyDescent="0.3">
      <c r="A12" s="244">
        <v>10</v>
      </c>
      <c r="B12" s="78" t="s">
        <v>143</v>
      </c>
      <c r="C12" s="77">
        <v>7</v>
      </c>
      <c r="D12" s="79">
        <v>45043</v>
      </c>
      <c r="E12" s="77" t="s">
        <v>186</v>
      </c>
      <c r="F12" s="77">
        <v>200182</v>
      </c>
      <c r="G12" s="77" t="s">
        <v>43</v>
      </c>
      <c r="H12" s="77" t="s">
        <v>44</v>
      </c>
      <c r="I12" s="526">
        <v>44</v>
      </c>
      <c r="J12" s="526"/>
      <c r="K12" s="526"/>
      <c r="L12" s="526"/>
      <c r="M12" s="80" t="s">
        <v>44</v>
      </c>
      <c r="N12" s="526">
        <v>44</v>
      </c>
      <c r="O12" s="526"/>
      <c r="P12" s="80"/>
      <c r="Q12" s="526"/>
      <c r="R12" s="80"/>
      <c r="S12" s="526"/>
      <c r="T12" s="119" t="str">
        <f t="shared" si="0"/>
        <v>C</v>
      </c>
      <c r="U12" s="77" t="s">
        <v>43</v>
      </c>
      <c r="V12" s="77" t="s">
        <v>47</v>
      </c>
      <c r="W12" s="77" t="s">
        <v>67</v>
      </c>
      <c r="X12" s="79">
        <v>45110</v>
      </c>
      <c r="Y12" s="245" t="s">
        <v>187</v>
      </c>
      <c r="Z12" s="82" t="s">
        <v>43</v>
      </c>
      <c r="AA12" s="77" t="s">
        <v>107</v>
      </c>
      <c r="AB12" s="77" t="s">
        <v>107</v>
      </c>
      <c r="AC12" s="77"/>
      <c r="AD12" s="82"/>
      <c r="AE12" s="599" t="s">
        <v>188</v>
      </c>
      <c r="AF12" s="81" t="s">
        <v>189</v>
      </c>
      <c r="AG12" s="77"/>
      <c r="AH12" s="14"/>
      <c r="AI12" s="12"/>
      <c r="AJ12" s="51"/>
      <c r="AK12" s="92"/>
      <c r="AL12" s="92"/>
      <c r="AM12" s="51"/>
      <c r="AN12" s="12"/>
      <c r="AO12" s="12"/>
      <c r="AP12" s="12"/>
      <c r="AQ12" s="12"/>
      <c r="AR12" s="178" t="s">
        <v>181</v>
      </c>
      <c r="AS12" s="179">
        <f>SUM(AS7:AS11)</f>
        <v>47</v>
      </c>
      <c r="AT12" s="511">
        <f>SUM(AT7:AT11)</f>
        <v>17414.810000000001</v>
      </c>
      <c r="AU12" s="181">
        <f>SUM(AU7:AU11)</f>
        <v>23</v>
      </c>
      <c r="AV12" s="511">
        <f>SUM(AV7:AV11)</f>
        <v>163.86</v>
      </c>
      <c r="AW12" s="6"/>
      <c r="AX12" s="174" t="s">
        <v>143</v>
      </c>
      <c r="AY12" s="175">
        <f>COUNTIFS($G$3:$G$157, "Y",$B$3:$B$157, $AX12, $AA$3:$AA$157, "Y",$V$3:$V$157,"H")</f>
        <v>0</v>
      </c>
      <c r="AZ12" s="510">
        <f>SUMIFS($I$3:$I$157, $G$3:$G$157, "Y",$B$3:$B$157,$AX12,$AA$3:$AA$157,"Y",$V$3:$V$157,"H")</f>
        <v>0</v>
      </c>
      <c r="BA12" s="177">
        <f>COUNTIFS($G$3:$G$157, "Y",$B$3:$B$157, $AX12, $AA$3:$AA$157, "Y",$V$3:$V$157,"L")</f>
        <v>0</v>
      </c>
      <c r="BB12" s="510">
        <f>SUMIFS($I$3:$I$157, $G$3:$G$157, "Y",$B$3:$B$157,$AX12,$AA$3:$AA$157,"Y",$V$3:$V$157,"L")</f>
        <v>0</v>
      </c>
    </row>
    <row r="13" spans="1:54" ht="15" customHeight="1" thickBot="1" x14ac:dyDescent="0.3">
      <c r="A13" s="242">
        <v>11</v>
      </c>
      <c r="B13" s="78" t="s">
        <v>41</v>
      </c>
      <c r="C13" s="77">
        <v>3</v>
      </c>
      <c r="D13" s="79">
        <v>45044</v>
      </c>
      <c r="E13" s="77" t="s">
        <v>190</v>
      </c>
      <c r="F13" s="77">
        <v>200190</v>
      </c>
      <c r="G13" s="77" t="s">
        <v>43</v>
      </c>
      <c r="H13" s="77" t="s">
        <v>151</v>
      </c>
      <c r="I13" s="526">
        <v>14</v>
      </c>
      <c r="J13" s="526"/>
      <c r="K13" s="526">
        <v>14</v>
      </c>
      <c r="L13" s="526"/>
      <c r="M13" s="80"/>
      <c r="N13" s="526"/>
      <c r="O13" s="526"/>
      <c r="P13" s="80"/>
      <c r="Q13" s="526"/>
      <c r="R13" s="80"/>
      <c r="S13" s="526"/>
      <c r="T13" s="119" t="str">
        <f t="shared" si="0"/>
        <v>C</v>
      </c>
      <c r="U13" s="77" t="s">
        <v>43</v>
      </c>
      <c r="V13" s="77" t="s">
        <v>47</v>
      </c>
      <c r="W13" s="77" t="s">
        <v>67</v>
      </c>
      <c r="X13" s="79">
        <v>45048</v>
      </c>
      <c r="Y13" s="245" t="s">
        <v>191</v>
      </c>
      <c r="Z13" s="82" t="s">
        <v>43</v>
      </c>
      <c r="AA13" s="77" t="s">
        <v>107</v>
      </c>
      <c r="AB13" s="77" t="s">
        <v>107</v>
      </c>
      <c r="AC13" s="77"/>
      <c r="AD13" s="82"/>
      <c r="AE13" s="599"/>
      <c r="AF13" s="84" t="s">
        <v>192</v>
      </c>
      <c r="AG13" s="77"/>
      <c r="AH13" s="14"/>
      <c r="AR13" s="6"/>
      <c r="AS13" s="6"/>
      <c r="AT13" s="6"/>
      <c r="AU13" s="6"/>
      <c r="AV13" s="6"/>
      <c r="AW13" s="6"/>
      <c r="AX13" s="178" t="s">
        <v>181</v>
      </c>
      <c r="AY13" s="179">
        <f>SUM(AY8:AY12)</f>
        <v>0</v>
      </c>
      <c r="AZ13" s="511">
        <f>SUM(AZ8:AZ12)</f>
        <v>0</v>
      </c>
      <c r="BA13" s="181">
        <f>SUM(BA8:BA12)</f>
        <v>0</v>
      </c>
      <c r="BB13" s="511">
        <f>SUM(BB8:BB12)</f>
        <v>0</v>
      </c>
    </row>
    <row r="14" spans="1:54" ht="15" customHeight="1" thickBot="1" x14ac:dyDescent="0.3">
      <c r="A14" s="244">
        <v>12</v>
      </c>
      <c r="B14" s="78" t="s">
        <v>41</v>
      </c>
      <c r="C14" s="77">
        <v>4</v>
      </c>
      <c r="D14" s="79">
        <v>45045</v>
      </c>
      <c r="E14" s="77" t="s">
        <v>193</v>
      </c>
      <c r="F14" s="77">
        <v>200192</v>
      </c>
      <c r="G14" s="77" t="s">
        <v>43</v>
      </c>
      <c r="H14" s="77" t="s">
        <v>44</v>
      </c>
      <c r="I14" s="526">
        <v>2.1</v>
      </c>
      <c r="J14" s="526"/>
      <c r="K14" s="526"/>
      <c r="L14" s="526"/>
      <c r="M14" s="80" t="s">
        <v>44</v>
      </c>
      <c r="N14" s="526">
        <v>2.1</v>
      </c>
      <c r="O14" s="526"/>
      <c r="P14" s="80"/>
      <c r="Q14" s="526"/>
      <c r="R14" s="80"/>
      <c r="S14" s="526"/>
      <c r="T14" s="119" t="str">
        <f t="shared" si="0"/>
        <v>B</v>
      </c>
      <c r="U14" s="77" t="s">
        <v>43</v>
      </c>
      <c r="V14" s="77" t="s">
        <v>47</v>
      </c>
      <c r="W14" s="77" t="s">
        <v>67</v>
      </c>
      <c r="X14" s="79">
        <v>45047</v>
      </c>
      <c r="Y14" s="245" t="s">
        <v>194</v>
      </c>
      <c r="Z14" s="82" t="s">
        <v>43</v>
      </c>
      <c r="AA14" s="77" t="s">
        <v>107</v>
      </c>
      <c r="AB14" s="77" t="s">
        <v>107</v>
      </c>
      <c r="AC14" s="77"/>
      <c r="AD14" s="82"/>
      <c r="AE14" s="599"/>
      <c r="AF14" s="84" t="s">
        <v>195</v>
      </c>
      <c r="AG14" s="77"/>
      <c r="AH14" s="14"/>
      <c r="AI14" s="726" t="s">
        <v>196</v>
      </c>
      <c r="AJ14" s="727"/>
      <c r="AK14" s="727"/>
      <c r="AL14" s="728"/>
      <c r="AM14" s="735" t="s">
        <v>197</v>
      </c>
      <c r="AN14" s="736"/>
      <c r="AQ14" s="281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4" ht="15" customHeight="1" x14ac:dyDescent="0.25">
      <c r="A15" s="242">
        <v>13</v>
      </c>
      <c r="B15" s="78" t="s">
        <v>143</v>
      </c>
      <c r="C15" s="77">
        <v>8</v>
      </c>
      <c r="D15" s="79">
        <v>45046</v>
      </c>
      <c r="E15" s="77" t="s">
        <v>198</v>
      </c>
      <c r="F15" s="77">
        <v>200195</v>
      </c>
      <c r="G15" s="77" t="s">
        <v>43</v>
      </c>
      <c r="H15" s="77" t="s">
        <v>163</v>
      </c>
      <c r="I15" s="526">
        <v>0.1</v>
      </c>
      <c r="J15" s="526"/>
      <c r="K15" s="526"/>
      <c r="L15" s="526"/>
      <c r="M15" s="80" t="s">
        <v>163</v>
      </c>
      <c r="N15" s="526">
        <v>0.1</v>
      </c>
      <c r="O15" s="526"/>
      <c r="P15" s="80"/>
      <c r="Q15" s="526"/>
      <c r="R15" s="80"/>
      <c r="S15" s="526"/>
      <c r="T15" s="119" t="str">
        <f t="shared" si="0"/>
        <v>A</v>
      </c>
      <c r="U15" s="77" t="s">
        <v>43</v>
      </c>
      <c r="V15" s="77" t="s">
        <v>47</v>
      </c>
      <c r="W15" s="77" t="s">
        <v>67</v>
      </c>
      <c r="X15" s="79">
        <v>45047</v>
      </c>
      <c r="Y15" s="245" t="s">
        <v>199</v>
      </c>
      <c r="Z15" s="82" t="s">
        <v>43</v>
      </c>
      <c r="AA15" s="77" t="s">
        <v>107</v>
      </c>
      <c r="AB15" s="77" t="s">
        <v>107</v>
      </c>
      <c r="AC15" s="77"/>
      <c r="AD15" s="82"/>
      <c r="AE15" s="599" t="s">
        <v>200</v>
      </c>
      <c r="AF15" s="84" t="s">
        <v>195</v>
      </c>
      <c r="AG15" s="77"/>
      <c r="AH15" s="14"/>
      <c r="AI15" s="729"/>
      <c r="AJ15" s="730"/>
      <c r="AK15" s="730"/>
      <c r="AL15" s="731"/>
      <c r="AM15" s="737"/>
      <c r="AN15" s="738"/>
      <c r="AQ15" s="12"/>
      <c r="AR15" s="698" t="s">
        <v>148</v>
      </c>
      <c r="AS15" s="699"/>
      <c r="AT15" s="699"/>
      <c r="AU15" s="699"/>
      <c r="AV15" s="700"/>
      <c r="AW15" s="12"/>
      <c r="AX15" s="759" t="s">
        <v>149</v>
      </c>
      <c r="AY15" s="760"/>
      <c r="AZ15" s="760"/>
      <c r="BA15" s="760"/>
      <c r="BB15" s="761"/>
    </row>
    <row r="16" spans="1:54" ht="15" customHeight="1" thickBot="1" x14ac:dyDescent="0.3">
      <c r="A16" s="244">
        <v>14</v>
      </c>
      <c r="B16" s="78" t="s">
        <v>41</v>
      </c>
      <c r="C16" s="77">
        <v>5</v>
      </c>
      <c r="D16" s="79">
        <v>45049</v>
      </c>
      <c r="E16" s="77" t="s">
        <v>201</v>
      </c>
      <c r="F16" s="77">
        <v>200212</v>
      </c>
      <c r="G16" s="77" t="s">
        <v>43</v>
      </c>
      <c r="H16" s="77" t="s">
        <v>44</v>
      </c>
      <c r="I16" s="526">
        <v>1</v>
      </c>
      <c r="J16" s="526"/>
      <c r="K16" s="526"/>
      <c r="L16" s="526"/>
      <c r="M16" s="80" t="s">
        <v>44</v>
      </c>
      <c r="N16" s="526">
        <v>1</v>
      </c>
      <c r="O16" s="526"/>
      <c r="P16" s="80"/>
      <c r="Q16" s="526"/>
      <c r="R16" s="80"/>
      <c r="S16" s="526"/>
      <c r="T16" s="119" t="str">
        <f t="shared" si="0"/>
        <v>B</v>
      </c>
      <c r="U16" s="77" t="s">
        <v>43</v>
      </c>
      <c r="V16" s="77" t="s">
        <v>47</v>
      </c>
      <c r="W16" s="77" t="s">
        <v>67</v>
      </c>
      <c r="X16" s="79">
        <v>45049</v>
      </c>
      <c r="Y16" s="245" t="s">
        <v>202</v>
      </c>
      <c r="Z16" s="82" t="s">
        <v>43</v>
      </c>
      <c r="AA16" s="77" t="s">
        <v>107</v>
      </c>
      <c r="AB16" s="77" t="s">
        <v>107</v>
      </c>
      <c r="AC16" s="77"/>
      <c r="AD16" s="82"/>
      <c r="AE16" s="599"/>
      <c r="AF16" s="84" t="s">
        <v>203</v>
      </c>
      <c r="AG16" s="77"/>
      <c r="AH16" s="14"/>
      <c r="AI16" s="729"/>
      <c r="AJ16" s="730"/>
      <c r="AK16" s="730"/>
      <c r="AL16" s="731"/>
      <c r="AM16" s="737"/>
      <c r="AN16" s="738"/>
      <c r="AO16" s="281"/>
      <c r="AP16" s="281"/>
      <c r="AQ16" s="12"/>
      <c r="AR16" s="701" t="s">
        <v>204</v>
      </c>
      <c r="AS16" s="702"/>
      <c r="AT16" s="702"/>
      <c r="AU16" s="702"/>
      <c r="AV16" s="703"/>
      <c r="AW16" s="12"/>
      <c r="AX16" s="762"/>
      <c r="AY16" s="763"/>
      <c r="AZ16" s="763"/>
      <c r="BA16" s="763"/>
      <c r="BB16" s="764"/>
    </row>
    <row r="17" spans="1:54" ht="15" customHeight="1" thickBot="1" x14ac:dyDescent="0.3">
      <c r="A17" s="242">
        <v>15</v>
      </c>
      <c r="B17" s="78" t="s">
        <v>50</v>
      </c>
      <c r="C17" s="77">
        <v>2</v>
      </c>
      <c r="D17" s="79">
        <v>45050</v>
      </c>
      <c r="E17" s="77" t="s">
        <v>205</v>
      </c>
      <c r="F17" s="77">
        <v>200223</v>
      </c>
      <c r="G17" s="77" t="s">
        <v>43</v>
      </c>
      <c r="H17" s="77" t="s">
        <v>151</v>
      </c>
      <c r="I17" s="526">
        <v>2</v>
      </c>
      <c r="J17" s="526"/>
      <c r="K17" s="526">
        <v>2</v>
      </c>
      <c r="L17" s="526"/>
      <c r="M17" s="80"/>
      <c r="N17" s="526"/>
      <c r="O17" s="526"/>
      <c r="P17" s="80"/>
      <c r="Q17" s="526"/>
      <c r="R17" s="80"/>
      <c r="S17" s="526"/>
      <c r="T17" s="119" t="str">
        <f t="shared" si="0"/>
        <v>B</v>
      </c>
      <c r="U17" s="77" t="s">
        <v>43</v>
      </c>
      <c r="V17" s="77" t="s">
        <v>47</v>
      </c>
      <c r="W17" s="77" t="s">
        <v>67</v>
      </c>
      <c r="X17" s="79">
        <v>45076</v>
      </c>
      <c r="Y17" s="245" t="s">
        <v>206</v>
      </c>
      <c r="Z17" s="82" t="s">
        <v>43</v>
      </c>
      <c r="AA17" s="77" t="s">
        <v>107</v>
      </c>
      <c r="AB17" s="77" t="s">
        <v>107</v>
      </c>
      <c r="AC17" s="77"/>
      <c r="AD17" s="82"/>
      <c r="AE17" s="599"/>
      <c r="AF17" s="84" t="s">
        <v>207</v>
      </c>
      <c r="AG17" s="77"/>
      <c r="AH17" s="14"/>
      <c r="AI17" s="732"/>
      <c r="AJ17" s="733"/>
      <c r="AK17" s="733"/>
      <c r="AL17" s="734"/>
      <c r="AM17" s="739"/>
      <c r="AN17" s="740"/>
      <c r="AO17" s="52"/>
      <c r="AP17" s="52"/>
      <c r="AQ17" s="12"/>
      <c r="AR17" s="706" t="s">
        <v>166</v>
      </c>
      <c r="AS17" s="704" t="s">
        <v>167</v>
      </c>
      <c r="AT17" s="705"/>
      <c r="AU17" s="704" t="s">
        <v>168</v>
      </c>
      <c r="AV17" s="705"/>
      <c r="AW17" s="12"/>
      <c r="AX17" s="701" t="s">
        <v>208</v>
      </c>
      <c r="AY17" s="702"/>
      <c r="AZ17" s="702"/>
      <c r="BA17" s="702"/>
      <c r="BB17" s="703"/>
    </row>
    <row r="18" spans="1:54" ht="15" customHeight="1" thickBot="1" x14ac:dyDescent="0.3">
      <c r="A18" s="244">
        <v>16</v>
      </c>
      <c r="B18" s="78" t="s">
        <v>143</v>
      </c>
      <c r="C18" s="77">
        <v>9</v>
      </c>
      <c r="D18" s="79">
        <v>45050</v>
      </c>
      <c r="E18" s="77" t="s">
        <v>209</v>
      </c>
      <c r="F18" s="77">
        <v>200225</v>
      </c>
      <c r="G18" s="77" t="s">
        <v>43</v>
      </c>
      <c r="H18" s="77" t="s">
        <v>52</v>
      </c>
      <c r="I18" s="526">
        <v>0.15</v>
      </c>
      <c r="J18" s="526">
        <v>0.15</v>
      </c>
      <c r="K18" s="526"/>
      <c r="L18" s="526"/>
      <c r="M18" s="80"/>
      <c r="N18" s="526"/>
      <c r="O18" s="526"/>
      <c r="P18" s="80"/>
      <c r="Q18" s="526"/>
      <c r="R18" s="80"/>
      <c r="S18" s="526"/>
      <c r="T18" s="119" t="str">
        <f t="shared" si="0"/>
        <v>A</v>
      </c>
      <c r="U18" s="77" t="s">
        <v>43</v>
      </c>
      <c r="V18" s="77" t="s">
        <v>54</v>
      </c>
      <c r="W18" s="77" t="s">
        <v>67</v>
      </c>
      <c r="X18" s="79">
        <v>45071</v>
      </c>
      <c r="Y18" s="245" t="s">
        <v>61</v>
      </c>
      <c r="Z18" s="82" t="s">
        <v>43</v>
      </c>
      <c r="AA18" s="77" t="s">
        <v>107</v>
      </c>
      <c r="AB18" s="77" t="s">
        <v>107</v>
      </c>
      <c r="AC18" s="77"/>
      <c r="AD18" s="82"/>
      <c r="AE18" s="599"/>
      <c r="AF18" s="84" t="s">
        <v>210</v>
      </c>
      <c r="AG18" s="77"/>
      <c r="AH18" s="14"/>
      <c r="AI18" s="708"/>
      <c r="AJ18" s="709"/>
      <c r="AK18" s="709"/>
      <c r="AL18" s="710"/>
      <c r="AM18" s="757"/>
      <c r="AN18" s="758"/>
      <c r="AO18" s="52"/>
      <c r="AP18" s="52"/>
      <c r="AQ18" s="51"/>
      <c r="AR18" s="707"/>
      <c r="AS18" s="161" t="s">
        <v>172</v>
      </c>
      <c r="AT18" s="162" t="s">
        <v>173</v>
      </c>
      <c r="AU18" s="163" t="s">
        <v>172</v>
      </c>
      <c r="AV18" s="162" t="s">
        <v>173</v>
      </c>
      <c r="AW18" s="12"/>
      <c r="AX18" s="706" t="s">
        <v>166</v>
      </c>
      <c r="AY18" s="704" t="s">
        <v>167</v>
      </c>
      <c r="AZ18" s="705"/>
      <c r="BA18" s="704" t="s">
        <v>168</v>
      </c>
      <c r="BB18" s="705"/>
    </row>
    <row r="19" spans="1:54" ht="15" customHeight="1" thickBot="1" x14ac:dyDescent="0.3">
      <c r="A19" s="242">
        <v>17</v>
      </c>
      <c r="B19" s="78" t="s">
        <v>50</v>
      </c>
      <c r="C19" s="77">
        <v>3</v>
      </c>
      <c r="D19" s="79">
        <v>45050</v>
      </c>
      <c r="E19" s="77" t="s">
        <v>211</v>
      </c>
      <c r="F19" s="77">
        <v>200224</v>
      </c>
      <c r="G19" s="77" t="s">
        <v>43</v>
      </c>
      <c r="H19" s="77" t="s">
        <v>52</v>
      </c>
      <c r="I19" s="526">
        <v>0.1</v>
      </c>
      <c r="J19" s="526">
        <v>0.1</v>
      </c>
      <c r="K19" s="526"/>
      <c r="L19" s="526"/>
      <c r="M19" s="80"/>
      <c r="N19" s="526"/>
      <c r="O19" s="526"/>
      <c r="P19" s="80"/>
      <c r="Q19" s="526"/>
      <c r="R19" s="80"/>
      <c r="S19" s="526"/>
      <c r="T19" s="119" t="str">
        <f t="shared" si="0"/>
        <v>A</v>
      </c>
      <c r="U19" s="77" t="s">
        <v>43</v>
      </c>
      <c r="V19" s="77" t="s">
        <v>54</v>
      </c>
      <c r="W19" s="77" t="s">
        <v>67</v>
      </c>
      <c r="X19" s="79">
        <v>45063</v>
      </c>
      <c r="Y19" s="245" t="s">
        <v>61</v>
      </c>
      <c r="Z19" s="82" t="s">
        <v>43</v>
      </c>
      <c r="AA19" s="77" t="s">
        <v>107</v>
      </c>
      <c r="AB19" s="77" t="s">
        <v>107</v>
      </c>
      <c r="AC19" s="77"/>
      <c r="AD19" s="82"/>
      <c r="AE19" s="599"/>
      <c r="AF19" s="84" t="s">
        <v>212</v>
      </c>
      <c r="AG19" s="77"/>
      <c r="AH19" s="14"/>
      <c r="AI19" s="686"/>
      <c r="AJ19" s="687"/>
      <c r="AK19" s="687"/>
      <c r="AL19" s="688"/>
      <c r="AM19" s="691"/>
      <c r="AN19" s="692"/>
      <c r="AO19" s="52"/>
      <c r="AP19" s="52"/>
      <c r="AQ19" s="51"/>
      <c r="AR19" s="164" t="s">
        <v>52</v>
      </c>
      <c r="AS19" s="165">
        <f t="shared" ref="AS19:AS31" si="2">COUNTIFS($H$3:$H$157,$AR19,$AA$3:$AA$157, "Y",$V$3:$V$157,"H")</f>
        <v>23</v>
      </c>
      <c r="AT19" s="512">
        <f>SUMIFS($J$3:$J$157,$V$3:$V$157,"H",$AA$3:$AA$157,"Y")</f>
        <v>7489.5000000000018</v>
      </c>
      <c r="AU19" s="165">
        <f t="shared" ref="AU19:AU31" si="3">COUNTIFS($H$3:$H$157,$AR19,$AA$3:$AA$157, "Y",$V$3:$V$157,"L")</f>
        <v>16</v>
      </c>
      <c r="AV19" s="498">
        <f>SUMIFS($J$3:$J$157,$V$3:$V$157,"L",$AA$3:$AA$157,"Y")</f>
        <v>163.01</v>
      </c>
      <c r="AW19" s="12"/>
      <c r="AX19" s="707"/>
      <c r="AY19" s="168" t="s">
        <v>172</v>
      </c>
      <c r="AZ19" s="169" t="s">
        <v>173</v>
      </c>
      <c r="BA19" s="182" t="s">
        <v>172</v>
      </c>
      <c r="BB19" s="169" t="s">
        <v>173</v>
      </c>
    </row>
    <row r="20" spans="1:54" ht="15" customHeight="1" x14ac:dyDescent="0.25">
      <c r="A20" s="244">
        <v>18</v>
      </c>
      <c r="B20" s="78" t="s">
        <v>41</v>
      </c>
      <c r="C20" s="77">
        <v>6</v>
      </c>
      <c r="D20" s="79">
        <v>45051</v>
      </c>
      <c r="E20" s="77" t="s">
        <v>213</v>
      </c>
      <c r="F20" s="77">
        <v>200228</v>
      </c>
      <c r="G20" s="77" t="s">
        <v>43</v>
      </c>
      <c r="H20" s="77" t="s">
        <v>44</v>
      </c>
      <c r="I20" s="526">
        <v>0.1</v>
      </c>
      <c r="J20" s="526"/>
      <c r="K20" s="526"/>
      <c r="L20" s="526"/>
      <c r="M20" s="80" t="s">
        <v>44</v>
      </c>
      <c r="N20" s="526">
        <v>0.1</v>
      </c>
      <c r="O20" s="526"/>
      <c r="P20" s="80"/>
      <c r="Q20" s="526"/>
      <c r="R20" s="80"/>
      <c r="S20" s="526"/>
      <c r="T20" s="119" t="str">
        <f t="shared" si="0"/>
        <v>A</v>
      </c>
      <c r="U20" s="77" t="s">
        <v>43</v>
      </c>
      <c r="V20" s="77" t="s">
        <v>54</v>
      </c>
      <c r="W20" s="77" t="s">
        <v>67</v>
      </c>
      <c r="X20" s="79">
        <v>45054</v>
      </c>
      <c r="Y20" s="245" t="s">
        <v>61</v>
      </c>
      <c r="Z20" s="82" t="s">
        <v>107</v>
      </c>
      <c r="AA20" s="77" t="s">
        <v>107</v>
      </c>
      <c r="AB20" s="77" t="s">
        <v>107</v>
      </c>
      <c r="AC20" s="77"/>
      <c r="AD20" s="82"/>
      <c r="AE20" s="599"/>
      <c r="AF20" s="84" t="s">
        <v>203</v>
      </c>
      <c r="AG20" s="77"/>
      <c r="AH20" s="14"/>
      <c r="AI20" s="683"/>
      <c r="AJ20" s="684"/>
      <c r="AK20" s="684"/>
      <c r="AL20" s="685"/>
      <c r="AM20" s="689"/>
      <c r="AN20" s="690"/>
      <c r="AO20" s="52"/>
      <c r="AP20" s="52"/>
      <c r="AQ20" s="51"/>
      <c r="AR20" s="170" t="s">
        <v>151</v>
      </c>
      <c r="AS20" s="171">
        <f t="shared" si="2"/>
        <v>6</v>
      </c>
      <c r="AT20" s="513">
        <f>SUMIFS($K$3:$K$157,$V$3:$V$157,"H",$AA$3:$AA$157,"Y")</f>
        <v>21.71</v>
      </c>
      <c r="AU20" s="171">
        <f t="shared" si="3"/>
        <v>2</v>
      </c>
      <c r="AV20" s="509">
        <f>SUMIFS($K$3:$K$157,$V$3:$V$157,"L",$AA$3:$AA$157,"Y")</f>
        <v>0.35</v>
      </c>
      <c r="AW20" s="12"/>
      <c r="AX20" s="164" t="s">
        <v>52</v>
      </c>
      <c r="AY20" s="185">
        <f>COUNTIFS($G$3:$G$157, "Y",$B$3:$B$157, $AX20, $AA$3:$AA$157, "Y",$V$3:$V$157,"H")</f>
        <v>0</v>
      </c>
      <c r="AZ20" s="516">
        <f>SUMIFS($J$3:$J$157, $G$3:$G$157, "Y",$B$3:$B$157,$AX20,$AA$3:$AA$157,"Y",$V$3:$V$157,"H")</f>
        <v>0</v>
      </c>
      <c r="BA20" s="183">
        <f>COUNTIFS($G$3:$G$157, "Y",$B$3:$B$157, $AX20, $AA$3:$AA$157, "Y",$V$3:$V$157,"L")</f>
        <v>0</v>
      </c>
      <c r="BB20" s="516">
        <f>SUMIFS($J$3:$J$157, $G$3:$G$157, "Y",$B$3:$B$157,$AX20,$AA$3:$AA$157,"Y",$V$3:$V$157,"L")</f>
        <v>0</v>
      </c>
    </row>
    <row r="21" spans="1:54" ht="15" customHeight="1" x14ac:dyDescent="0.25">
      <c r="A21" s="242">
        <v>19</v>
      </c>
      <c r="B21" s="78" t="s">
        <v>143</v>
      </c>
      <c r="C21" s="77">
        <v>10</v>
      </c>
      <c r="D21" s="79">
        <v>45061</v>
      </c>
      <c r="E21" s="77" t="s">
        <v>214</v>
      </c>
      <c r="F21" s="77">
        <v>200254</v>
      </c>
      <c r="G21" s="77" t="s">
        <v>43</v>
      </c>
      <c r="H21" s="77" t="s">
        <v>52</v>
      </c>
      <c r="I21" s="526">
        <v>0.1</v>
      </c>
      <c r="J21" s="526">
        <v>0.1</v>
      </c>
      <c r="K21" s="526"/>
      <c r="L21" s="526"/>
      <c r="M21" s="80"/>
      <c r="N21" s="526"/>
      <c r="O21" s="526"/>
      <c r="P21" s="80"/>
      <c r="Q21" s="526"/>
      <c r="R21" s="80"/>
      <c r="S21" s="526"/>
      <c r="T21" s="119" t="str">
        <f t="shared" si="0"/>
        <v>A</v>
      </c>
      <c r="U21" s="77" t="s">
        <v>43</v>
      </c>
      <c r="V21" s="77" t="s">
        <v>47</v>
      </c>
      <c r="W21" s="77" t="s">
        <v>67</v>
      </c>
      <c r="X21" s="79">
        <v>45061</v>
      </c>
      <c r="Y21" s="245" t="s">
        <v>215</v>
      </c>
      <c r="Z21" s="82" t="s">
        <v>43</v>
      </c>
      <c r="AA21" s="77" t="s">
        <v>107</v>
      </c>
      <c r="AB21" s="77" t="s">
        <v>107</v>
      </c>
      <c r="AC21" s="77"/>
      <c r="AD21" s="82"/>
      <c r="AE21" s="599"/>
      <c r="AF21" s="84" t="s">
        <v>216</v>
      </c>
      <c r="AG21" s="77"/>
      <c r="AH21" s="14"/>
      <c r="AI21" s="686"/>
      <c r="AJ21" s="687"/>
      <c r="AK21" s="687"/>
      <c r="AL21" s="688"/>
      <c r="AM21" s="691"/>
      <c r="AN21" s="692"/>
      <c r="AO21" s="52"/>
      <c r="AP21" s="52"/>
      <c r="AQ21" s="51"/>
      <c r="AR21" s="170" t="s">
        <v>217</v>
      </c>
      <c r="AS21" s="171">
        <f t="shared" si="2"/>
        <v>0</v>
      </c>
      <c r="AT21" s="513">
        <f>SUMIFS($L$3:$L$157,$V$3:$V$157,"H",$AA$3:$AA$157,"Y")</f>
        <v>0</v>
      </c>
      <c r="AU21" s="171">
        <f t="shared" si="3"/>
        <v>0</v>
      </c>
      <c r="AV21" s="509">
        <f>SUMIFS($L$3:$L$157,$V$3:$V$157,"L",$AA$3:$AA$157,"Y")</f>
        <v>0</v>
      </c>
      <c r="AW21" s="7"/>
      <c r="AX21" s="170" t="s">
        <v>151</v>
      </c>
      <c r="AY21" s="171" t="s">
        <v>1</v>
      </c>
      <c r="AZ21" s="509">
        <f>SUMIFS($J$3:$J$157, $G$3:$G$157, "Y",$B$3:$B$157,$AX21,$AA$3:$AA$157,"Y",$V$3:$V$157,"H")</f>
        <v>0</v>
      </c>
      <c r="BA21" s="173" t="s">
        <v>1</v>
      </c>
      <c r="BB21" s="509">
        <f>SUMIFS($J$3:$J$157, $G$3:$G$157, "Y",$B$3:$B$157,$AX21,$AA$3:$AA$157,"Y",$V$3:$V$157,"L")</f>
        <v>0</v>
      </c>
    </row>
    <row r="22" spans="1:54" ht="15" customHeight="1" thickBot="1" x14ac:dyDescent="0.3">
      <c r="A22" s="244">
        <v>20</v>
      </c>
      <c r="B22" s="78" t="s">
        <v>143</v>
      </c>
      <c r="C22" s="77">
        <v>11</v>
      </c>
      <c r="D22" s="79">
        <v>45062</v>
      </c>
      <c r="E22" s="77" t="s">
        <v>218</v>
      </c>
      <c r="F22" s="77">
        <v>200265</v>
      </c>
      <c r="G22" s="77" t="s">
        <v>43</v>
      </c>
      <c r="H22" s="77" t="s">
        <v>151</v>
      </c>
      <c r="I22" s="526">
        <v>0.25</v>
      </c>
      <c r="J22" s="526"/>
      <c r="K22" s="526">
        <v>0.25</v>
      </c>
      <c r="L22" s="526"/>
      <c r="M22" s="80"/>
      <c r="N22" s="526"/>
      <c r="O22" s="526"/>
      <c r="P22" s="80"/>
      <c r="Q22" s="526"/>
      <c r="R22" s="80"/>
      <c r="S22" s="526"/>
      <c r="T22" s="119" t="str">
        <f t="shared" si="0"/>
        <v>A</v>
      </c>
      <c r="U22" s="77" t="s">
        <v>43</v>
      </c>
      <c r="V22" s="77" t="s">
        <v>54</v>
      </c>
      <c r="W22" s="77" t="s">
        <v>67</v>
      </c>
      <c r="X22" s="79">
        <v>45071</v>
      </c>
      <c r="Y22" s="245" t="s">
        <v>61</v>
      </c>
      <c r="Z22" s="82" t="s">
        <v>43</v>
      </c>
      <c r="AA22" s="77" t="s">
        <v>107</v>
      </c>
      <c r="AB22" s="85" t="s">
        <v>107</v>
      </c>
      <c r="AC22" s="77"/>
      <c r="AD22" s="82"/>
      <c r="AE22" s="599"/>
      <c r="AF22" s="84" t="s">
        <v>219</v>
      </c>
      <c r="AG22" s="77"/>
      <c r="AH22" s="14"/>
      <c r="AI22" s="683"/>
      <c r="AJ22" s="684"/>
      <c r="AK22" s="684"/>
      <c r="AL22" s="685"/>
      <c r="AM22" s="689"/>
      <c r="AN22" s="690"/>
      <c r="AO22" s="52"/>
      <c r="AP22" s="52"/>
      <c r="AQ22" s="51"/>
      <c r="AR22" s="170" t="s">
        <v>220</v>
      </c>
      <c r="AS22" s="171">
        <f t="shared" si="2"/>
        <v>2</v>
      </c>
      <c r="AT22" s="513">
        <f>SUMIFS($N$3:$N$157,$M$3:$M$157,$AR22,$V$3:$V$157,"H",$AA$3:$AA$157,"Y")+SUMIFS($Q$3:$Q$157,$P$3:$P$157,$AR22,$V$3:$V$157,"H",$AA$3:$AA$157,"Y")+SUMIFS($S$3:$S$157,$R$3:$R$157,$AR22,$V$3:$V$157,"H",$AA$3:$AA$157,"Y")</f>
        <v>0.35</v>
      </c>
      <c r="AU22" s="171">
        <f t="shared" si="3"/>
        <v>0</v>
      </c>
      <c r="AV22" s="509">
        <f>SUMIFS($N$3:$N$157,$M$3:$M$157,$AR22,$V$3:$V$157,"L",$AA$3:$AA$157,"Y")+SUMIFS($Q$3:$Q$157,$P$3:$P$157,$AR22,$V$3:$V$157,"L",$AA$3:$AA$157,"Y")+SUMIFS($S$3:$S$157,$R$3:$R$157,$AR22,$V$3:$V$157,"L",$AA$3:$AA$157,"Y")</f>
        <v>0</v>
      </c>
      <c r="AW22" s="12"/>
      <c r="AX22" s="170" t="s">
        <v>217</v>
      </c>
      <c r="AY22" s="171" t="s">
        <v>1</v>
      </c>
      <c r="AZ22" s="509">
        <f>SUMIFS($L$3:$L$157, $G$3:$G$157, "Y",$AA$3:$AA$157,"Y",$V$3:$V$157,"H")</f>
        <v>0</v>
      </c>
      <c r="BA22" s="173" t="s">
        <v>1</v>
      </c>
      <c r="BB22" s="509">
        <f>SUMIFS($L$3:$L$157, $G$3:$G$157, "Y",$AA$3:$AA$157,"Y",$V$3:$V$157,"L")</f>
        <v>0</v>
      </c>
    </row>
    <row r="23" spans="1:54" ht="15" customHeight="1" thickTop="1" thickBot="1" x14ac:dyDescent="0.3">
      <c r="A23" s="242">
        <v>21</v>
      </c>
      <c r="B23" s="78" t="s">
        <v>50</v>
      </c>
      <c r="C23" s="77">
        <v>4</v>
      </c>
      <c r="D23" s="79">
        <v>45062</v>
      </c>
      <c r="E23" s="77" t="s">
        <v>221</v>
      </c>
      <c r="F23" s="77">
        <v>200267</v>
      </c>
      <c r="G23" s="77" t="s">
        <v>43</v>
      </c>
      <c r="H23" s="77" t="s">
        <v>52</v>
      </c>
      <c r="I23" s="526">
        <v>0.1</v>
      </c>
      <c r="J23" s="526">
        <v>0.1</v>
      </c>
      <c r="K23" s="526"/>
      <c r="L23" s="526"/>
      <c r="M23" s="80"/>
      <c r="N23" s="526"/>
      <c r="O23" s="526"/>
      <c r="P23" s="80"/>
      <c r="Q23" s="526"/>
      <c r="R23" s="80"/>
      <c r="S23" s="526"/>
      <c r="T23" s="119" t="str">
        <f t="shared" si="0"/>
        <v>A</v>
      </c>
      <c r="U23" s="77" t="s">
        <v>43</v>
      </c>
      <c r="V23" s="77" t="s">
        <v>54</v>
      </c>
      <c r="W23" s="77" t="s">
        <v>67</v>
      </c>
      <c r="X23" s="79">
        <v>45063</v>
      </c>
      <c r="Y23" s="245" t="s">
        <v>61</v>
      </c>
      <c r="Z23" s="82" t="s">
        <v>43</v>
      </c>
      <c r="AA23" s="77" t="s">
        <v>107</v>
      </c>
      <c r="AB23" s="85" t="s">
        <v>107</v>
      </c>
      <c r="AC23" s="77"/>
      <c r="AD23" s="82"/>
      <c r="AE23" s="599"/>
      <c r="AF23" s="84" t="s">
        <v>212</v>
      </c>
      <c r="AG23" s="77"/>
      <c r="AH23" s="14"/>
      <c r="AI23" s="686"/>
      <c r="AJ23" s="687"/>
      <c r="AK23" s="687"/>
      <c r="AL23" s="688"/>
      <c r="AM23" s="691"/>
      <c r="AN23" s="692"/>
      <c r="AO23" s="52"/>
      <c r="AP23" s="52"/>
      <c r="AQ23" s="6"/>
      <c r="AR23" s="170" t="s">
        <v>222</v>
      </c>
      <c r="AS23" s="171">
        <f t="shared" si="2"/>
        <v>0</v>
      </c>
      <c r="AT23" s="513">
        <f t="shared" ref="AT23:AT30" si="4">SUMIFS($N$3:$N$157,$M$3:$M$157,$AR23,$V$3:$V$157,"H",$AA$3:$AA$157,"Y")+SUMIFS($Q$3:$Q$157,$P$3:$P$157,$AR23,$V$3:$V$157,"H",$AA$3:$AA$157,"Y")+SUMIFS($S$3:$S$157,$R$3:$R$157,$AR23,$V$3:$V$157,"H",$AA$3:$AA$157,"Y")</f>
        <v>0</v>
      </c>
      <c r="AU23" s="171">
        <f t="shared" si="3"/>
        <v>0</v>
      </c>
      <c r="AV23" s="509">
        <f t="shared" ref="AV23:AV30" si="5">SUMIFS($N$3:$N$157,$M$3:$M$157,$AR23,$V$3:$V$157,"L",$AA$3:$AA$157,"Y")+SUMIFS($Q$3:$Q$157,$P$3:$P$157,$AR23,$V$3:$V$157,"L",$AA$3:$AA$157,"Y")+SUMIFS($S$3:$S$157,$R$3:$R$157,$AR23,$V$3:$V$157,"L",$AA$3:$AA$157,"Y")</f>
        <v>0</v>
      </c>
      <c r="AW23" s="51"/>
      <c r="AX23" s="186" t="s">
        <v>181</v>
      </c>
      <c r="AY23" s="187">
        <f>SUM(AY20:AY22)</f>
        <v>0</v>
      </c>
      <c r="AZ23" s="517">
        <f>SUM(AZ20:AZ22)</f>
        <v>0</v>
      </c>
      <c r="BA23" s="188">
        <f>SUM(BA20:BA22)</f>
        <v>0</v>
      </c>
      <c r="BB23" s="518">
        <f>SUM(BB20:BB22)</f>
        <v>0</v>
      </c>
    </row>
    <row r="24" spans="1:54" ht="15" customHeight="1" x14ac:dyDescent="0.25">
      <c r="A24" s="244">
        <v>22</v>
      </c>
      <c r="B24" s="78" t="s">
        <v>143</v>
      </c>
      <c r="C24" s="77">
        <v>12</v>
      </c>
      <c r="D24" s="79">
        <v>45063</v>
      </c>
      <c r="E24" s="77" t="s">
        <v>223</v>
      </c>
      <c r="F24" s="77">
        <v>200277</v>
      </c>
      <c r="G24" s="77" t="s">
        <v>43</v>
      </c>
      <c r="H24" s="77" t="s">
        <v>52</v>
      </c>
      <c r="I24" s="526">
        <v>0.1</v>
      </c>
      <c r="J24" s="526">
        <v>0.1</v>
      </c>
      <c r="K24" s="526"/>
      <c r="L24" s="526"/>
      <c r="M24" s="80"/>
      <c r="N24" s="526"/>
      <c r="O24" s="526"/>
      <c r="P24" s="80"/>
      <c r="Q24" s="526"/>
      <c r="R24" s="80"/>
      <c r="S24" s="526"/>
      <c r="T24" s="119" t="str">
        <f t="shared" si="0"/>
        <v>A</v>
      </c>
      <c r="U24" s="77" t="s">
        <v>43</v>
      </c>
      <c r="V24" s="77" t="s">
        <v>54</v>
      </c>
      <c r="W24" s="77" t="s">
        <v>67</v>
      </c>
      <c r="X24" s="79">
        <v>45110</v>
      </c>
      <c r="Y24" s="245" t="s">
        <v>61</v>
      </c>
      <c r="Z24" s="82" t="s">
        <v>43</v>
      </c>
      <c r="AA24" s="77" t="s">
        <v>107</v>
      </c>
      <c r="AB24" s="77" t="s">
        <v>107</v>
      </c>
      <c r="AC24" s="77"/>
      <c r="AD24" s="82"/>
      <c r="AE24" s="599"/>
      <c r="AF24" s="84" t="s">
        <v>189</v>
      </c>
      <c r="AG24" s="77"/>
      <c r="AH24" s="14"/>
      <c r="AI24" s="683"/>
      <c r="AJ24" s="684"/>
      <c r="AK24" s="684"/>
      <c r="AL24" s="685"/>
      <c r="AM24" s="689"/>
      <c r="AN24" s="690"/>
      <c r="AO24" s="52"/>
      <c r="AP24" s="52"/>
      <c r="AQ24" s="6"/>
      <c r="AR24" s="170" t="s">
        <v>224</v>
      </c>
      <c r="AS24" s="171">
        <f t="shared" si="2"/>
        <v>0</v>
      </c>
      <c r="AT24" s="513">
        <f t="shared" si="4"/>
        <v>0</v>
      </c>
      <c r="AU24" s="171">
        <f t="shared" si="3"/>
        <v>0</v>
      </c>
      <c r="AV24" s="509">
        <f t="shared" si="5"/>
        <v>0</v>
      </c>
      <c r="AW24" s="6"/>
      <c r="AX24" s="6"/>
      <c r="AY24" s="6"/>
      <c r="AZ24" s="6"/>
      <c r="BA24" s="6"/>
      <c r="BB24" s="6"/>
    </row>
    <row r="25" spans="1:54" ht="15" customHeight="1" x14ac:dyDescent="0.25">
      <c r="A25" s="242">
        <v>23</v>
      </c>
      <c r="B25" s="78" t="s">
        <v>65</v>
      </c>
      <c r="C25" s="77">
        <v>1</v>
      </c>
      <c r="D25" s="79">
        <v>45067</v>
      </c>
      <c r="E25" s="77" t="s">
        <v>225</v>
      </c>
      <c r="F25" s="77">
        <v>200281</v>
      </c>
      <c r="G25" s="77" t="s">
        <v>43</v>
      </c>
      <c r="H25" s="77" t="s">
        <v>52</v>
      </c>
      <c r="I25" s="526">
        <v>0.1</v>
      </c>
      <c r="J25" s="526">
        <v>0.1</v>
      </c>
      <c r="K25" s="526"/>
      <c r="L25" s="526"/>
      <c r="M25" s="80"/>
      <c r="N25" s="526"/>
      <c r="O25" s="526"/>
      <c r="P25" s="80"/>
      <c r="Q25" s="526"/>
      <c r="R25" s="80"/>
      <c r="S25" s="526"/>
      <c r="T25" s="119" t="str">
        <f t="shared" si="0"/>
        <v>A</v>
      </c>
      <c r="U25" s="77" t="s">
        <v>43</v>
      </c>
      <c r="V25" s="77" t="s">
        <v>54</v>
      </c>
      <c r="W25" s="77" t="s">
        <v>67</v>
      </c>
      <c r="X25" s="79">
        <v>45070</v>
      </c>
      <c r="Y25" s="245" t="s">
        <v>226</v>
      </c>
      <c r="Z25" s="82" t="s">
        <v>107</v>
      </c>
      <c r="AA25" s="77" t="s">
        <v>107</v>
      </c>
      <c r="AB25" s="77" t="s">
        <v>107</v>
      </c>
      <c r="AC25" s="77"/>
      <c r="AD25" s="82"/>
      <c r="AE25" s="599"/>
      <c r="AF25" s="84" t="s">
        <v>216</v>
      </c>
      <c r="AG25" s="77"/>
      <c r="AH25" s="14"/>
      <c r="AI25" s="686"/>
      <c r="AJ25" s="687"/>
      <c r="AK25" s="687"/>
      <c r="AL25" s="688"/>
      <c r="AM25" s="691"/>
      <c r="AN25" s="692"/>
      <c r="AO25" s="52"/>
      <c r="AP25" s="52"/>
      <c r="AQ25" s="6"/>
      <c r="AR25" s="170" t="s">
        <v>227</v>
      </c>
      <c r="AS25" s="171">
        <f t="shared" si="2"/>
        <v>0</v>
      </c>
      <c r="AT25" s="513">
        <f t="shared" si="4"/>
        <v>0</v>
      </c>
      <c r="AU25" s="171">
        <f t="shared" si="3"/>
        <v>0</v>
      </c>
      <c r="AV25" s="509">
        <f t="shared" si="5"/>
        <v>0</v>
      </c>
      <c r="AW25" s="6"/>
      <c r="AX25" s="6"/>
      <c r="AY25" s="6"/>
      <c r="AZ25" s="6"/>
      <c r="BA25" s="6"/>
      <c r="BB25" s="6"/>
    </row>
    <row r="26" spans="1:54" ht="15" customHeight="1" x14ac:dyDescent="0.25">
      <c r="A26" s="244">
        <v>24</v>
      </c>
      <c r="B26" s="78" t="s">
        <v>41</v>
      </c>
      <c r="C26" s="77">
        <v>7</v>
      </c>
      <c r="D26" s="79">
        <v>45068</v>
      </c>
      <c r="E26" s="77" t="s">
        <v>228</v>
      </c>
      <c r="F26" s="77">
        <v>200285</v>
      </c>
      <c r="G26" s="77" t="s">
        <v>43</v>
      </c>
      <c r="H26" s="77" t="s">
        <v>44</v>
      </c>
      <c r="I26" s="526">
        <v>0.1</v>
      </c>
      <c r="J26" s="526"/>
      <c r="K26" s="526"/>
      <c r="L26" s="526"/>
      <c r="M26" s="80" t="s">
        <v>44</v>
      </c>
      <c r="N26" s="526">
        <v>0.1</v>
      </c>
      <c r="O26" s="526"/>
      <c r="P26" s="80"/>
      <c r="Q26" s="526"/>
      <c r="R26" s="80"/>
      <c r="S26" s="526"/>
      <c r="T26" s="119" t="str">
        <f t="shared" si="0"/>
        <v>A</v>
      </c>
      <c r="U26" s="77" t="s">
        <v>43</v>
      </c>
      <c r="V26" s="77" t="s">
        <v>54</v>
      </c>
      <c r="W26" s="77" t="s">
        <v>67</v>
      </c>
      <c r="X26" s="79"/>
      <c r="Y26" s="245" t="s">
        <v>61</v>
      </c>
      <c r="Z26" s="82" t="s">
        <v>43</v>
      </c>
      <c r="AA26" s="77" t="s">
        <v>107</v>
      </c>
      <c r="AB26" s="77" t="s">
        <v>107</v>
      </c>
      <c r="AC26" s="77"/>
      <c r="AD26" s="82"/>
      <c r="AE26" s="599"/>
      <c r="AF26" s="84" t="s">
        <v>171</v>
      </c>
      <c r="AG26" s="77"/>
      <c r="AH26" s="14"/>
      <c r="AI26" s="683"/>
      <c r="AJ26" s="684"/>
      <c r="AK26" s="684"/>
      <c r="AL26" s="685"/>
      <c r="AM26" s="689"/>
      <c r="AN26" s="690"/>
      <c r="AO26" s="52"/>
      <c r="AP26" s="52"/>
      <c r="AQ26" s="6"/>
      <c r="AR26" s="170" t="s">
        <v>229</v>
      </c>
      <c r="AS26" s="171">
        <f t="shared" si="2"/>
        <v>0</v>
      </c>
      <c r="AT26" s="513">
        <f t="shared" si="4"/>
        <v>0</v>
      </c>
      <c r="AU26" s="171">
        <f t="shared" si="3"/>
        <v>0</v>
      </c>
      <c r="AV26" s="509">
        <f t="shared" si="5"/>
        <v>0</v>
      </c>
      <c r="AW26" s="6"/>
      <c r="AX26" s="6"/>
      <c r="AY26" s="6"/>
      <c r="AZ26" s="6"/>
      <c r="BA26" s="6"/>
      <c r="BB26" s="6"/>
    </row>
    <row r="27" spans="1:54" ht="15" customHeight="1" x14ac:dyDescent="0.25">
      <c r="A27" s="242">
        <v>25</v>
      </c>
      <c r="B27" s="78" t="s">
        <v>143</v>
      </c>
      <c r="C27" s="77">
        <v>13</v>
      </c>
      <c r="D27" s="79">
        <v>45068</v>
      </c>
      <c r="E27" s="77" t="s">
        <v>230</v>
      </c>
      <c r="F27" s="77">
        <v>200291</v>
      </c>
      <c r="G27" s="77" t="s">
        <v>43</v>
      </c>
      <c r="H27" s="77" t="s">
        <v>52</v>
      </c>
      <c r="I27" s="526">
        <v>0.1</v>
      </c>
      <c r="J27" s="526">
        <v>0.1</v>
      </c>
      <c r="K27" s="526"/>
      <c r="L27" s="526"/>
      <c r="M27" s="80"/>
      <c r="N27" s="526"/>
      <c r="O27" s="526"/>
      <c r="P27" s="80"/>
      <c r="Q27" s="526"/>
      <c r="R27" s="80"/>
      <c r="S27" s="526"/>
      <c r="T27" s="119" t="str">
        <f t="shared" si="0"/>
        <v>A</v>
      </c>
      <c r="U27" s="77" t="s">
        <v>43</v>
      </c>
      <c r="V27" s="77" t="s">
        <v>54</v>
      </c>
      <c r="W27" s="77" t="s">
        <v>67</v>
      </c>
      <c r="X27" s="79">
        <v>45071</v>
      </c>
      <c r="Y27" s="245" t="s">
        <v>61</v>
      </c>
      <c r="Z27" s="82" t="s">
        <v>43</v>
      </c>
      <c r="AA27" s="77" t="s">
        <v>107</v>
      </c>
      <c r="AB27" s="77" t="s">
        <v>107</v>
      </c>
      <c r="AC27" s="77"/>
      <c r="AD27" s="82"/>
      <c r="AE27" s="599"/>
      <c r="AF27" s="84" t="s">
        <v>231</v>
      </c>
      <c r="AG27" s="77"/>
      <c r="AH27" s="14"/>
      <c r="AI27" s="686"/>
      <c r="AJ27" s="687"/>
      <c r="AK27" s="687"/>
      <c r="AL27" s="688"/>
      <c r="AM27" s="691"/>
      <c r="AN27" s="692"/>
      <c r="AO27" s="52"/>
      <c r="AP27" s="52"/>
      <c r="AQ27" s="6"/>
      <c r="AR27" s="170" t="s">
        <v>232</v>
      </c>
      <c r="AS27" s="171">
        <f t="shared" si="2"/>
        <v>0</v>
      </c>
      <c r="AT27" s="513">
        <f t="shared" si="4"/>
        <v>0</v>
      </c>
      <c r="AU27" s="171">
        <f t="shared" si="3"/>
        <v>0</v>
      </c>
      <c r="AV27" s="509">
        <f t="shared" si="5"/>
        <v>0</v>
      </c>
      <c r="AW27" s="6"/>
      <c r="AX27" s="6"/>
      <c r="AY27" s="6"/>
      <c r="AZ27" s="6"/>
      <c r="BA27" s="6"/>
      <c r="BB27" s="6"/>
    </row>
    <row r="28" spans="1:54" ht="15" customHeight="1" x14ac:dyDescent="0.25">
      <c r="A28" s="244">
        <v>26</v>
      </c>
      <c r="B28" s="78" t="s">
        <v>143</v>
      </c>
      <c r="C28" s="77">
        <v>14</v>
      </c>
      <c r="D28" s="79">
        <v>45100</v>
      </c>
      <c r="E28" s="77" t="s">
        <v>233</v>
      </c>
      <c r="F28" s="77">
        <v>200415</v>
      </c>
      <c r="G28" s="77" t="s">
        <v>43</v>
      </c>
      <c r="H28" s="77" t="s">
        <v>52</v>
      </c>
      <c r="I28" s="526">
        <v>0.1</v>
      </c>
      <c r="J28" s="526">
        <v>0.1</v>
      </c>
      <c r="K28" s="526"/>
      <c r="L28" s="526"/>
      <c r="M28" s="80"/>
      <c r="N28" s="526"/>
      <c r="O28" s="526"/>
      <c r="P28" s="80"/>
      <c r="Q28" s="526"/>
      <c r="R28" s="80"/>
      <c r="S28" s="526"/>
      <c r="T28" s="119" t="str">
        <f t="shared" si="0"/>
        <v>A</v>
      </c>
      <c r="U28" s="77" t="s">
        <v>43</v>
      </c>
      <c r="V28" s="77" t="s">
        <v>54</v>
      </c>
      <c r="W28" s="77" t="s">
        <v>67</v>
      </c>
      <c r="X28" s="79">
        <v>45110</v>
      </c>
      <c r="Y28" s="245" t="s">
        <v>61</v>
      </c>
      <c r="Z28" s="82" t="s">
        <v>43</v>
      </c>
      <c r="AA28" s="77" t="s">
        <v>107</v>
      </c>
      <c r="AB28" s="77" t="s">
        <v>107</v>
      </c>
      <c r="AC28" s="77"/>
      <c r="AD28" s="82"/>
      <c r="AE28" s="599"/>
      <c r="AF28" s="84" t="s">
        <v>189</v>
      </c>
      <c r="AG28" s="77"/>
      <c r="AH28" s="14"/>
      <c r="AI28" s="683"/>
      <c r="AJ28" s="684"/>
      <c r="AK28" s="684"/>
      <c r="AL28" s="685"/>
      <c r="AM28" s="689"/>
      <c r="AN28" s="690"/>
      <c r="AO28" s="52"/>
      <c r="AP28" s="52"/>
      <c r="AQ28" s="6"/>
      <c r="AR28" s="170" t="s">
        <v>44</v>
      </c>
      <c r="AS28" s="171">
        <f t="shared" si="2"/>
        <v>8</v>
      </c>
      <c r="AT28" s="513">
        <f t="shared" si="4"/>
        <v>8275.5500000000011</v>
      </c>
      <c r="AU28" s="171">
        <f t="shared" si="3"/>
        <v>4</v>
      </c>
      <c r="AV28" s="509">
        <f t="shared" si="5"/>
        <v>0.4</v>
      </c>
      <c r="AW28" s="6"/>
      <c r="AX28" s="6"/>
      <c r="AY28" s="6"/>
      <c r="AZ28" s="6"/>
      <c r="BA28" s="6"/>
      <c r="BB28" s="6"/>
    </row>
    <row r="29" spans="1:54" ht="15" customHeight="1" x14ac:dyDescent="0.25">
      <c r="A29" s="242">
        <v>27</v>
      </c>
      <c r="B29" s="78" t="s">
        <v>143</v>
      </c>
      <c r="C29" s="77">
        <v>15</v>
      </c>
      <c r="D29" s="79">
        <v>45104</v>
      </c>
      <c r="E29" s="77" t="s">
        <v>234</v>
      </c>
      <c r="F29" s="77">
        <v>200437</v>
      </c>
      <c r="G29" s="77" t="s">
        <v>43</v>
      </c>
      <c r="H29" s="77" t="s">
        <v>163</v>
      </c>
      <c r="I29" s="526">
        <v>0.1</v>
      </c>
      <c r="J29" s="526"/>
      <c r="K29" s="526"/>
      <c r="L29" s="526"/>
      <c r="M29" s="80" t="s">
        <v>163</v>
      </c>
      <c r="N29" s="526">
        <v>0.1</v>
      </c>
      <c r="O29" s="526"/>
      <c r="P29" s="80"/>
      <c r="Q29" s="526"/>
      <c r="R29" s="80"/>
      <c r="S29" s="526"/>
      <c r="T29" s="119" t="str">
        <f t="shared" si="0"/>
        <v>A</v>
      </c>
      <c r="U29" s="77" t="s">
        <v>43</v>
      </c>
      <c r="V29" s="77" t="s">
        <v>54</v>
      </c>
      <c r="W29" s="77" t="s">
        <v>67</v>
      </c>
      <c r="X29" s="79">
        <v>45110</v>
      </c>
      <c r="Y29" s="245" t="s">
        <v>61</v>
      </c>
      <c r="Z29" s="82" t="s">
        <v>43</v>
      </c>
      <c r="AA29" s="77" t="s">
        <v>107</v>
      </c>
      <c r="AB29" s="77" t="s">
        <v>107</v>
      </c>
      <c r="AC29" s="77"/>
      <c r="AD29" s="82"/>
      <c r="AE29" s="599" t="s">
        <v>235</v>
      </c>
      <c r="AF29" s="84" t="s">
        <v>189</v>
      </c>
      <c r="AG29" s="77"/>
      <c r="AH29" s="14"/>
      <c r="AI29" s="686"/>
      <c r="AJ29" s="687"/>
      <c r="AK29" s="687"/>
      <c r="AL29" s="688"/>
      <c r="AM29" s="691"/>
      <c r="AN29" s="692"/>
      <c r="AO29" s="52"/>
      <c r="AP29" s="52"/>
      <c r="AQ29" s="6"/>
      <c r="AR29" s="170" t="s">
        <v>236</v>
      </c>
      <c r="AS29" s="171">
        <f t="shared" si="2"/>
        <v>0</v>
      </c>
      <c r="AT29" s="513">
        <f t="shared" si="4"/>
        <v>0</v>
      </c>
      <c r="AU29" s="171">
        <f t="shared" si="3"/>
        <v>0</v>
      </c>
      <c r="AV29" s="509">
        <f t="shared" si="5"/>
        <v>0</v>
      </c>
      <c r="AW29" s="6"/>
      <c r="AX29" s="6"/>
      <c r="AY29" s="6"/>
      <c r="AZ29" s="6"/>
      <c r="BA29" s="6"/>
      <c r="BB29" s="6"/>
    </row>
    <row r="30" spans="1:54" ht="15" customHeight="1" x14ac:dyDescent="0.25">
      <c r="A30" s="244">
        <v>28</v>
      </c>
      <c r="B30" s="78" t="s">
        <v>65</v>
      </c>
      <c r="C30" s="77">
        <v>2</v>
      </c>
      <c r="D30" s="79">
        <v>45109</v>
      </c>
      <c r="E30" s="77" t="s">
        <v>237</v>
      </c>
      <c r="F30" s="77">
        <v>200461</v>
      </c>
      <c r="G30" s="77" t="s">
        <v>43</v>
      </c>
      <c r="H30" s="77" t="s">
        <v>52</v>
      </c>
      <c r="I30" s="526">
        <v>0.1</v>
      </c>
      <c r="J30" s="526">
        <v>0.1</v>
      </c>
      <c r="K30" s="526"/>
      <c r="L30" s="526"/>
      <c r="M30" s="80"/>
      <c r="N30" s="526"/>
      <c r="O30" s="526"/>
      <c r="P30" s="80"/>
      <c r="Q30" s="526"/>
      <c r="R30" s="80"/>
      <c r="S30" s="526"/>
      <c r="T30" s="119" t="str">
        <f t="shared" si="0"/>
        <v>A</v>
      </c>
      <c r="U30" s="77" t="s">
        <v>43</v>
      </c>
      <c r="V30" s="77" t="s">
        <v>54</v>
      </c>
      <c r="W30" s="77" t="s">
        <v>67</v>
      </c>
      <c r="X30" s="79">
        <v>45112</v>
      </c>
      <c r="Y30" s="245" t="s">
        <v>61</v>
      </c>
      <c r="Z30" s="82" t="s">
        <v>43</v>
      </c>
      <c r="AA30" s="77" t="s">
        <v>107</v>
      </c>
      <c r="AB30" s="77" t="s">
        <v>107</v>
      </c>
      <c r="AC30" s="77"/>
      <c r="AD30" s="82"/>
      <c r="AE30" s="599"/>
      <c r="AF30" s="84" t="s">
        <v>238</v>
      </c>
      <c r="AG30" s="77"/>
      <c r="AH30" s="14"/>
      <c r="AI30" s="683"/>
      <c r="AJ30" s="684"/>
      <c r="AK30" s="684"/>
      <c r="AL30" s="685"/>
      <c r="AM30" s="689"/>
      <c r="AN30" s="690"/>
      <c r="AO30" s="52"/>
      <c r="AP30" s="52"/>
      <c r="AQ30" s="6"/>
      <c r="AR30" s="170" t="s">
        <v>163</v>
      </c>
      <c r="AS30" s="171">
        <f>COUNTIFS($H$3:$H$157,$AR30,$AA$3:$AA$157, "Y",$V$3:$V$157,"H")</f>
        <v>8</v>
      </c>
      <c r="AT30" s="513">
        <f t="shared" si="4"/>
        <v>2.7000000000000006</v>
      </c>
      <c r="AU30" s="171">
        <f t="shared" si="3"/>
        <v>1</v>
      </c>
      <c r="AV30" s="509">
        <f t="shared" si="5"/>
        <v>0.1</v>
      </c>
      <c r="AW30" s="6"/>
      <c r="AX30" s="6"/>
      <c r="AY30" s="6"/>
      <c r="AZ30" s="6"/>
      <c r="BA30" s="6"/>
      <c r="BB30" s="6"/>
    </row>
    <row r="31" spans="1:54" ht="15" customHeight="1" x14ac:dyDescent="0.25">
      <c r="A31" s="242">
        <v>29</v>
      </c>
      <c r="B31" s="78" t="s">
        <v>41</v>
      </c>
      <c r="C31" s="77">
        <v>8</v>
      </c>
      <c r="D31" s="79">
        <v>45113</v>
      </c>
      <c r="E31" s="77" t="s">
        <v>239</v>
      </c>
      <c r="F31" s="77">
        <v>200484</v>
      </c>
      <c r="G31" s="77" t="s">
        <v>43</v>
      </c>
      <c r="H31" s="77" t="s">
        <v>44</v>
      </c>
      <c r="I31" s="526">
        <v>0.1</v>
      </c>
      <c r="J31" s="526"/>
      <c r="K31" s="526"/>
      <c r="L31" s="526"/>
      <c r="M31" s="80" t="s">
        <v>44</v>
      </c>
      <c r="N31" s="526">
        <v>0.1</v>
      </c>
      <c r="O31" s="526"/>
      <c r="P31" s="80"/>
      <c r="Q31" s="526"/>
      <c r="R31" s="80"/>
      <c r="S31" s="526"/>
      <c r="T31" s="119" t="str">
        <f t="shared" si="0"/>
        <v>A</v>
      </c>
      <c r="U31" s="77" t="s">
        <v>43</v>
      </c>
      <c r="V31" s="77" t="s">
        <v>47</v>
      </c>
      <c r="W31" s="77" t="s">
        <v>67</v>
      </c>
      <c r="X31" s="79">
        <v>45113</v>
      </c>
      <c r="Y31" s="245" t="s">
        <v>240</v>
      </c>
      <c r="Z31" s="82" t="s">
        <v>43</v>
      </c>
      <c r="AA31" s="77" t="s">
        <v>107</v>
      </c>
      <c r="AB31" s="77" t="s">
        <v>107</v>
      </c>
      <c r="AC31" s="77"/>
      <c r="AD31" s="82"/>
      <c r="AE31" s="599"/>
      <c r="AF31" s="84" t="s">
        <v>241</v>
      </c>
      <c r="AG31" s="77"/>
      <c r="AH31" s="14"/>
      <c r="AI31" s="686"/>
      <c r="AJ31" s="687"/>
      <c r="AK31" s="687"/>
      <c r="AL31" s="688"/>
      <c r="AM31" s="691"/>
      <c r="AN31" s="692"/>
      <c r="AO31" s="52"/>
      <c r="AP31" s="52"/>
      <c r="AQ31" s="6"/>
      <c r="AR31" s="170" t="s">
        <v>242</v>
      </c>
      <c r="AS31" s="171">
        <f t="shared" si="2"/>
        <v>0</v>
      </c>
      <c r="AT31" s="513">
        <f>SUMIFS($O$3:$O$157,$V$3:$V$157,"H",$AA$3:$AA$157,"Y")</f>
        <v>533</v>
      </c>
      <c r="AU31" s="171">
        <f t="shared" si="3"/>
        <v>0</v>
      </c>
      <c r="AV31" s="509">
        <f>SUMIFS($O$3:$O$157,$V$3:$V$157,"L",$AA$3:$AA$157,"Y")</f>
        <v>0</v>
      </c>
      <c r="AW31" s="6"/>
      <c r="AX31" s="6"/>
      <c r="AY31" s="6"/>
      <c r="AZ31" s="6"/>
      <c r="BA31" s="6"/>
      <c r="BB31" s="6"/>
    </row>
    <row r="32" spans="1:54" ht="15" customHeight="1" x14ac:dyDescent="0.25">
      <c r="A32" s="244">
        <v>30</v>
      </c>
      <c r="B32" s="78" t="s">
        <v>41</v>
      </c>
      <c r="C32" s="77">
        <v>9</v>
      </c>
      <c r="D32" s="79">
        <v>45112</v>
      </c>
      <c r="E32" s="77" t="s">
        <v>243</v>
      </c>
      <c r="F32" s="77">
        <v>200483</v>
      </c>
      <c r="G32" s="77" t="s">
        <v>43</v>
      </c>
      <c r="H32" s="77" t="s">
        <v>52</v>
      </c>
      <c r="I32" s="526">
        <v>0.2</v>
      </c>
      <c r="J32" s="526">
        <v>0.2</v>
      </c>
      <c r="K32" s="526"/>
      <c r="L32" s="526"/>
      <c r="M32" s="80"/>
      <c r="N32" s="526"/>
      <c r="O32" s="526"/>
      <c r="P32" s="80"/>
      <c r="Q32" s="526"/>
      <c r="R32" s="80"/>
      <c r="S32" s="526"/>
      <c r="T32" s="119" t="str">
        <f t="shared" si="0"/>
        <v>A</v>
      </c>
      <c r="U32" s="77" t="s">
        <v>43</v>
      </c>
      <c r="V32" s="77" t="s">
        <v>54</v>
      </c>
      <c r="W32" s="77" t="s">
        <v>67</v>
      </c>
      <c r="X32" s="79">
        <v>45114</v>
      </c>
      <c r="Y32" s="245" t="s">
        <v>61</v>
      </c>
      <c r="Z32" s="82" t="s">
        <v>43</v>
      </c>
      <c r="AA32" s="77" t="s">
        <v>107</v>
      </c>
      <c r="AB32" s="77" t="s">
        <v>107</v>
      </c>
      <c r="AC32" s="77"/>
      <c r="AD32" s="82"/>
      <c r="AE32" s="599"/>
      <c r="AF32" s="84" t="s">
        <v>244</v>
      </c>
      <c r="AG32" s="77"/>
      <c r="AH32" s="14"/>
      <c r="AI32" s="683"/>
      <c r="AJ32" s="684"/>
      <c r="AK32" s="684"/>
      <c r="AL32" s="685"/>
      <c r="AM32" s="689"/>
      <c r="AN32" s="690"/>
      <c r="AO32" s="52"/>
      <c r="AP32" s="52"/>
      <c r="AQ32" s="6"/>
      <c r="AR32" s="170" t="s">
        <v>245</v>
      </c>
      <c r="AS32" s="171" t="s">
        <v>1</v>
      </c>
      <c r="AT32" s="513">
        <f>SUMIFS($S$3:$S$157,$R$3:$R$157,$AR32,$V$3:$V$157,"H",$AA$3:$AA$157,"Y")+SUMIFS($Q$3:$Q$157,$P$3:$P$157,$AR32,$V$3:$V$157,"H",$AA$3:$AA$157,"Y")</f>
        <v>0</v>
      </c>
      <c r="AU32" s="171" t="s">
        <v>1</v>
      </c>
      <c r="AV32" s="509">
        <f>SUMIFS($S$3:$S$157,$R$3:$R$157,$AR32,$V$3:$V$157,"L",$AA$3:$AA$157,"Y")+SUMIFS($Q$3:$Q$157,$P$3:$P$157,$AR32,$V$3:$V$157,"L",$AA$3:$AA$157,"Y")</f>
        <v>0</v>
      </c>
      <c r="AW32" s="6"/>
    </row>
    <row r="33" spans="1:49" ht="15" customHeight="1" x14ac:dyDescent="0.25">
      <c r="A33" s="242">
        <v>31</v>
      </c>
      <c r="B33" s="78" t="s">
        <v>56</v>
      </c>
      <c r="C33" s="77">
        <v>1</v>
      </c>
      <c r="D33" s="79">
        <v>45116</v>
      </c>
      <c r="E33" s="77" t="s">
        <v>246</v>
      </c>
      <c r="F33" s="77">
        <v>200499</v>
      </c>
      <c r="G33" s="77" t="s">
        <v>43</v>
      </c>
      <c r="H33" s="77" t="s">
        <v>52</v>
      </c>
      <c r="I33" s="526">
        <v>0.1</v>
      </c>
      <c r="J33" s="526">
        <v>0.1</v>
      </c>
      <c r="K33" s="526"/>
      <c r="L33" s="526"/>
      <c r="M33" s="80"/>
      <c r="N33" s="526"/>
      <c r="O33" s="526"/>
      <c r="P33" s="80"/>
      <c r="Q33" s="526"/>
      <c r="R33" s="80"/>
      <c r="S33" s="526"/>
      <c r="T33" s="119" t="str">
        <f t="shared" si="0"/>
        <v>A</v>
      </c>
      <c r="U33" s="77" t="s">
        <v>43</v>
      </c>
      <c r="V33" s="77" t="s">
        <v>47</v>
      </c>
      <c r="W33" s="77" t="s">
        <v>67</v>
      </c>
      <c r="X33" s="79">
        <v>45149</v>
      </c>
      <c r="Y33" s="245" t="s">
        <v>247</v>
      </c>
      <c r="Z33" s="82" t="s">
        <v>43</v>
      </c>
      <c r="AA33" s="77" t="s">
        <v>107</v>
      </c>
      <c r="AB33" s="77" t="s">
        <v>107</v>
      </c>
      <c r="AC33" s="77"/>
      <c r="AD33" s="82"/>
      <c r="AE33" s="599"/>
      <c r="AF33" s="84" t="s">
        <v>248</v>
      </c>
      <c r="AG33" s="77"/>
      <c r="AH33" s="14"/>
      <c r="AI33" s="686"/>
      <c r="AJ33" s="687"/>
      <c r="AK33" s="687"/>
      <c r="AL33" s="688"/>
      <c r="AM33" s="691"/>
      <c r="AN33" s="692"/>
      <c r="AO33" s="52"/>
      <c r="AP33" s="52"/>
      <c r="AQ33" s="6"/>
      <c r="AR33" s="170" t="s">
        <v>249</v>
      </c>
      <c r="AS33" s="171" t="s">
        <v>1</v>
      </c>
      <c r="AT33" s="513">
        <f t="shared" ref="AT33:AT40" si="6">SUMIFS($S$3:$S$157,$R$3:$R$157,$AR33,$V$3:$V$157,"H",$AA$3:$AA$157,"Y")+SUMIFS($Q$3:$Q$157,$P$3:$P$157,$AR33,$V$3:$V$157,"H",$AA$3:$AA$157,"Y")</f>
        <v>0</v>
      </c>
      <c r="AU33" s="171" t="s">
        <v>1</v>
      </c>
      <c r="AV33" s="509">
        <f t="shared" ref="AV33:AV40" si="7">SUMIFS($S$3:$S$157,$R$3:$R$157,$AR33,$V$3:$V$157,"L",$AA$3:$AA$157,"Y")+SUMIFS($Q$3:$Q$157,$P$3:$P$157,$AR33,$V$3:$V$157,"L",$AA$3:$AA$157,"Y")</f>
        <v>0</v>
      </c>
      <c r="AW33" s="6"/>
    </row>
    <row r="34" spans="1:49" ht="15" customHeight="1" x14ac:dyDescent="0.25">
      <c r="A34" s="244">
        <v>32</v>
      </c>
      <c r="B34" s="78" t="s">
        <v>41</v>
      </c>
      <c r="C34" s="77">
        <v>10</v>
      </c>
      <c r="D34" s="79">
        <v>45120</v>
      </c>
      <c r="E34" s="77" t="s">
        <v>250</v>
      </c>
      <c r="F34" s="77">
        <v>200528</v>
      </c>
      <c r="G34" s="77" t="s">
        <v>43</v>
      </c>
      <c r="H34" s="77" t="s">
        <v>151</v>
      </c>
      <c r="I34" s="526">
        <v>0.1</v>
      </c>
      <c r="J34" s="526"/>
      <c r="K34" s="526">
        <v>0.1</v>
      </c>
      <c r="L34" s="526"/>
      <c r="M34" s="80"/>
      <c r="N34" s="526"/>
      <c r="O34" s="526"/>
      <c r="P34" s="80"/>
      <c r="Q34" s="526"/>
      <c r="R34" s="80"/>
      <c r="S34" s="526"/>
      <c r="T34" s="119" t="str">
        <f t="shared" si="0"/>
        <v>A</v>
      </c>
      <c r="U34" s="77" t="s">
        <v>43</v>
      </c>
      <c r="V34" s="77" t="s">
        <v>47</v>
      </c>
      <c r="W34" s="77" t="s">
        <v>67</v>
      </c>
      <c r="X34" s="79">
        <v>45124</v>
      </c>
      <c r="Y34" s="245" t="s">
        <v>251</v>
      </c>
      <c r="Z34" s="82" t="s">
        <v>43</v>
      </c>
      <c r="AA34" s="77" t="s">
        <v>107</v>
      </c>
      <c r="AB34" s="77" t="s">
        <v>107</v>
      </c>
      <c r="AC34" s="77"/>
      <c r="AD34" s="82"/>
      <c r="AE34" s="599"/>
      <c r="AF34" s="84" t="s">
        <v>252</v>
      </c>
      <c r="AG34" s="77"/>
      <c r="AH34" s="53"/>
      <c r="AI34" s="683"/>
      <c r="AJ34" s="684"/>
      <c r="AK34" s="684"/>
      <c r="AL34" s="685"/>
      <c r="AM34" s="689"/>
      <c r="AN34" s="690"/>
      <c r="AO34" s="54"/>
      <c r="AP34" s="54"/>
      <c r="AQ34" s="6"/>
      <c r="AR34" s="170" t="s">
        <v>77</v>
      </c>
      <c r="AS34" s="171" t="s">
        <v>1</v>
      </c>
      <c r="AT34" s="513">
        <f t="shared" si="6"/>
        <v>0</v>
      </c>
      <c r="AU34" s="171" t="s">
        <v>1</v>
      </c>
      <c r="AV34" s="509">
        <f t="shared" si="7"/>
        <v>0</v>
      </c>
      <c r="AW34" s="6"/>
    </row>
    <row r="35" spans="1:49" ht="15" customHeight="1" x14ac:dyDescent="0.25">
      <c r="A35" s="242">
        <v>33</v>
      </c>
      <c r="B35" s="78" t="s">
        <v>143</v>
      </c>
      <c r="C35" s="77">
        <v>16</v>
      </c>
      <c r="D35" s="79">
        <v>45124</v>
      </c>
      <c r="E35" s="77" t="s">
        <v>253</v>
      </c>
      <c r="F35" s="77">
        <v>200540</v>
      </c>
      <c r="G35" s="77" t="s">
        <v>43</v>
      </c>
      <c r="H35" s="77" t="s">
        <v>52</v>
      </c>
      <c r="I35" s="526">
        <v>0.1</v>
      </c>
      <c r="J35" s="526">
        <v>0.1</v>
      </c>
      <c r="K35" s="526"/>
      <c r="L35" s="526"/>
      <c r="M35" s="80"/>
      <c r="N35" s="526"/>
      <c r="O35" s="526"/>
      <c r="P35" s="80"/>
      <c r="Q35" s="526"/>
      <c r="R35" s="80"/>
      <c r="S35" s="526"/>
      <c r="T35" s="119" t="str">
        <f t="shared" si="0"/>
        <v>A</v>
      </c>
      <c r="U35" s="77" t="s">
        <v>43</v>
      </c>
      <c r="V35" s="77" t="s">
        <v>47</v>
      </c>
      <c r="W35" s="77" t="s">
        <v>67</v>
      </c>
      <c r="X35" s="79">
        <v>45131</v>
      </c>
      <c r="Y35" s="245" t="s">
        <v>254</v>
      </c>
      <c r="Z35" s="82" t="s">
        <v>43</v>
      </c>
      <c r="AA35" s="77" t="s">
        <v>107</v>
      </c>
      <c r="AB35" s="77" t="s">
        <v>107</v>
      </c>
      <c r="AC35" s="77"/>
      <c r="AD35" s="82"/>
      <c r="AE35" s="599"/>
      <c r="AF35" s="81" t="s">
        <v>255</v>
      </c>
      <c r="AG35" s="77"/>
      <c r="AH35" s="14"/>
      <c r="AI35" s="686"/>
      <c r="AJ35" s="687"/>
      <c r="AK35" s="687"/>
      <c r="AL35" s="688"/>
      <c r="AM35" s="691"/>
      <c r="AN35" s="692"/>
      <c r="AO35" s="54"/>
      <c r="AP35" s="54"/>
      <c r="AQ35" s="6"/>
      <c r="AR35" s="170" t="s">
        <v>256</v>
      </c>
      <c r="AS35" s="171" t="s">
        <v>1</v>
      </c>
      <c r="AT35" s="513">
        <f t="shared" si="6"/>
        <v>0</v>
      </c>
      <c r="AU35" s="171" t="s">
        <v>1</v>
      </c>
      <c r="AV35" s="509">
        <f t="shared" si="7"/>
        <v>0</v>
      </c>
      <c r="AW35" s="6"/>
    </row>
    <row r="36" spans="1:49" ht="15" customHeight="1" x14ac:dyDescent="0.25">
      <c r="A36" s="244">
        <v>34</v>
      </c>
      <c r="B36" s="78" t="s">
        <v>65</v>
      </c>
      <c r="C36" s="77">
        <v>3</v>
      </c>
      <c r="D36" s="79">
        <v>45124</v>
      </c>
      <c r="E36" s="77" t="s">
        <v>257</v>
      </c>
      <c r="F36" s="77">
        <v>200542</v>
      </c>
      <c r="G36" s="77" t="s">
        <v>43</v>
      </c>
      <c r="H36" s="77" t="s">
        <v>52</v>
      </c>
      <c r="I36" s="526">
        <v>0.1</v>
      </c>
      <c r="J36" s="526">
        <v>0.1</v>
      </c>
      <c r="K36" s="526"/>
      <c r="L36" s="526"/>
      <c r="M36" s="80"/>
      <c r="N36" s="526"/>
      <c r="O36" s="526"/>
      <c r="P36" s="80"/>
      <c r="Q36" s="526"/>
      <c r="R36" s="80"/>
      <c r="S36" s="526"/>
      <c r="T36" s="119" t="str">
        <f t="shared" si="0"/>
        <v>A</v>
      </c>
      <c r="U36" s="77" t="s">
        <v>43</v>
      </c>
      <c r="V36" s="77" t="s">
        <v>47</v>
      </c>
      <c r="W36" s="77" t="s">
        <v>67</v>
      </c>
      <c r="X36" s="79">
        <v>45124</v>
      </c>
      <c r="Y36" s="245" t="s">
        <v>258</v>
      </c>
      <c r="Z36" s="82" t="s">
        <v>43</v>
      </c>
      <c r="AA36" s="77" t="s">
        <v>107</v>
      </c>
      <c r="AB36" s="77" t="s">
        <v>107</v>
      </c>
      <c r="AC36" s="77"/>
      <c r="AD36" s="82"/>
      <c r="AE36" s="599"/>
      <c r="AF36" s="84" t="s">
        <v>259</v>
      </c>
      <c r="AG36" s="77"/>
      <c r="AH36" s="14"/>
      <c r="AI36" s="683"/>
      <c r="AJ36" s="684"/>
      <c r="AK36" s="684"/>
      <c r="AL36" s="685"/>
      <c r="AM36" s="689"/>
      <c r="AN36" s="690"/>
      <c r="AO36" s="54"/>
      <c r="AP36" s="54"/>
      <c r="AQ36" s="51"/>
      <c r="AR36" s="170" t="s">
        <v>260</v>
      </c>
      <c r="AS36" s="171" t="s">
        <v>1</v>
      </c>
      <c r="AT36" s="513">
        <f t="shared" si="6"/>
        <v>0</v>
      </c>
      <c r="AU36" s="171" t="s">
        <v>1</v>
      </c>
      <c r="AV36" s="509">
        <f t="shared" si="7"/>
        <v>0</v>
      </c>
      <c r="AW36" s="6"/>
    </row>
    <row r="37" spans="1:49" ht="15" customHeight="1" x14ac:dyDescent="0.25">
      <c r="A37" s="242">
        <v>35</v>
      </c>
      <c r="B37" s="78" t="s">
        <v>143</v>
      </c>
      <c r="C37" s="77">
        <v>17</v>
      </c>
      <c r="D37" s="79">
        <v>45124</v>
      </c>
      <c r="E37" s="77" t="s">
        <v>261</v>
      </c>
      <c r="F37" s="77">
        <v>200546</v>
      </c>
      <c r="G37" s="77" t="s">
        <v>43</v>
      </c>
      <c r="H37" s="77" t="s">
        <v>52</v>
      </c>
      <c r="I37" s="526">
        <v>0.1</v>
      </c>
      <c r="J37" s="526">
        <v>0.1</v>
      </c>
      <c r="K37" s="526"/>
      <c r="L37" s="526"/>
      <c r="M37" s="80"/>
      <c r="N37" s="526"/>
      <c r="O37" s="526"/>
      <c r="P37" s="80"/>
      <c r="Q37" s="526"/>
      <c r="R37" s="80"/>
      <c r="S37" s="526"/>
      <c r="T37" s="119" t="str">
        <f t="shared" si="0"/>
        <v>A</v>
      </c>
      <c r="U37" s="77" t="s">
        <v>43</v>
      </c>
      <c r="V37" s="77" t="s">
        <v>47</v>
      </c>
      <c r="W37" s="77" t="s">
        <v>67</v>
      </c>
      <c r="X37" s="79">
        <v>45131</v>
      </c>
      <c r="Y37" s="245" t="s">
        <v>262</v>
      </c>
      <c r="Z37" s="82" t="s">
        <v>43</v>
      </c>
      <c r="AA37" s="77" t="s">
        <v>107</v>
      </c>
      <c r="AB37" s="77" t="s">
        <v>107</v>
      </c>
      <c r="AC37" s="77"/>
      <c r="AD37" s="82"/>
      <c r="AE37" s="599" t="s">
        <v>263</v>
      </c>
      <c r="AF37" s="86" t="s">
        <v>255</v>
      </c>
      <c r="AG37" s="77"/>
      <c r="AH37" s="14"/>
      <c r="AI37" s="686"/>
      <c r="AJ37" s="687"/>
      <c r="AK37" s="687"/>
      <c r="AL37" s="688"/>
      <c r="AM37" s="691"/>
      <c r="AN37" s="692"/>
      <c r="AO37" s="52"/>
      <c r="AP37" s="52"/>
      <c r="AQ37" s="52"/>
      <c r="AR37" s="170" t="s">
        <v>264</v>
      </c>
      <c r="AS37" s="171" t="s">
        <v>1</v>
      </c>
      <c r="AT37" s="513">
        <f t="shared" si="6"/>
        <v>0</v>
      </c>
      <c r="AU37" s="171" t="s">
        <v>1</v>
      </c>
      <c r="AV37" s="509">
        <f t="shared" si="7"/>
        <v>0</v>
      </c>
    </row>
    <row r="38" spans="1:49" ht="15" customHeight="1" x14ac:dyDescent="0.25">
      <c r="A38" s="244">
        <v>36</v>
      </c>
      <c r="B38" s="78" t="s">
        <v>50</v>
      </c>
      <c r="C38" s="77">
        <v>5</v>
      </c>
      <c r="D38" s="79">
        <v>45128</v>
      </c>
      <c r="E38" s="77" t="s">
        <v>265</v>
      </c>
      <c r="F38" s="77">
        <v>200573</v>
      </c>
      <c r="G38" s="77" t="s">
        <v>43</v>
      </c>
      <c r="H38" s="77" t="s">
        <v>52</v>
      </c>
      <c r="I38" s="526">
        <v>0.1</v>
      </c>
      <c r="J38" s="526">
        <v>0.1</v>
      </c>
      <c r="K38" s="526"/>
      <c r="L38" s="526"/>
      <c r="M38" s="80"/>
      <c r="N38" s="526"/>
      <c r="O38" s="526"/>
      <c r="P38" s="80"/>
      <c r="Q38" s="526"/>
      <c r="R38" s="80"/>
      <c r="S38" s="526"/>
      <c r="T38" s="119" t="s">
        <v>66</v>
      </c>
      <c r="U38" s="77" t="s">
        <v>43</v>
      </c>
      <c r="V38" s="77" t="s">
        <v>47</v>
      </c>
      <c r="W38" s="77" t="s">
        <v>67</v>
      </c>
      <c r="X38" s="79">
        <v>45129</v>
      </c>
      <c r="Y38" s="245" t="s">
        <v>266</v>
      </c>
      <c r="Z38" s="82" t="s">
        <v>267</v>
      </c>
      <c r="AA38" s="77" t="s">
        <v>107</v>
      </c>
      <c r="AB38" s="77" t="s">
        <v>107</v>
      </c>
      <c r="AC38" s="77"/>
      <c r="AD38" s="82"/>
      <c r="AE38" s="599"/>
      <c r="AF38" s="84" t="s">
        <v>268</v>
      </c>
      <c r="AG38" s="77"/>
      <c r="AH38" s="14"/>
      <c r="AI38" s="683"/>
      <c r="AJ38" s="684"/>
      <c r="AK38" s="684"/>
      <c r="AL38" s="685"/>
      <c r="AM38" s="689"/>
      <c r="AN38" s="690"/>
      <c r="AO38" s="52"/>
      <c r="AP38" s="52"/>
      <c r="AQ38" s="52"/>
      <c r="AR38" s="170" t="s">
        <v>269</v>
      </c>
      <c r="AS38" s="171" t="s">
        <v>1</v>
      </c>
      <c r="AT38" s="513">
        <f t="shared" si="6"/>
        <v>0</v>
      </c>
      <c r="AU38" s="171" t="s">
        <v>1</v>
      </c>
      <c r="AV38" s="509">
        <f t="shared" si="7"/>
        <v>0</v>
      </c>
    </row>
    <row r="39" spans="1:49" ht="15" customHeight="1" thickBot="1" x14ac:dyDescent="0.3">
      <c r="A39" s="242">
        <v>37</v>
      </c>
      <c r="B39" s="78" t="s">
        <v>143</v>
      </c>
      <c r="C39" s="87">
        <v>18</v>
      </c>
      <c r="D39" s="88">
        <v>45130</v>
      </c>
      <c r="E39" s="87" t="s">
        <v>270</v>
      </c>
      <c r="F39" s="77">
        <v>200581</v>
      </c>
      <c r="G39" s="77" t="s">
        <v>43</v>
      </c>
      <c r="H39" s="87" t="s">
        <v>52</v>
      </c>
      <c r="I39" s="526">
        <v>0.1</v>
      </c>
      <c r="J39" s="526">
        <v>0.1</v>
      </c>
      <c r="K39" s="526"/>
      <c r="L39" s="526"/>
      <c r="M39" s="80"/>
      <c r="N39" s="526"/>
      <c r="O39" s="526"/>
      <c r="P39" s="80"/>
      <c r="Q39" s="526"/>
      <c r="R39" s="80"/>
      <c r="S39" s="526"/>
      <c r="T39" s="119" t="str">
        <f t="shared" ref="T39:T51" si="8">IF($I39&lt;=0, " ",IF($I39&lt;=0.25, "A",IF($I39&lt;10, "B",IF($I39&lt;100, "C", IF($I39&lt;300, "D",IF($I39&lt;1000, "E",IF($I39&lt;5000,"F",IF($I39&gt;=5000, "G"))))))))</f>
        <v>A</v>
      </c>
      <c r="U39" s="77" t="s">
        <v>43</v>
      </c>
      <c r="V39" s="77" t="s">
        <v>47</v>
      </c>
      <c r="W39" s="77" t="s">
        <v>67</v>
      </c>
      <c r="X39" s="79">
        <v>45131</v>
      </c>
      <c r="Y39" s="245" t="s">
        <v>271</v>
      </c>
      <c r="Z39" s="82" t="s">
        <v>43</v>
      </c>
      <c r="AA39" s="77" t="s">
        <v>107</v>
      </c>
      <c r="AB39" s="85" t="s">
        <v>107</v>
      </c>
      <c r="AC39" s="77"/>
      <c r="AD39" s="82"/>
      <c r="AE39" s="599"/>
      <c r="AF39" s="84" t="s">
        <v>255</v>
      </c>
      <c r="AG39" s="77"/>
      <c r="AH39" s="14"/>
      <c r="AI39" s="693"/>
      <c r="AJ39" s="694"/>
      <c r="AK39" s="694"/>
      <c r="AL39" s="695"/>
      <c r="AM39" s="696"/>
      <c r="AN39" s="697"/>
      <c r="AO39" s="52"/>
      <c r="AP39" s="52"/>
      <c r="AQ39" s="52"/>
      <c r="AR39" s="170" t="s">
        <v>272</v>
      </c>
      <c r="AS39" s="171" t="s">
        <v>1</v>
      </c>
      <c r="AT39" s="513">
        <f t="shared" si="6"/>
        <v>0</v>
      </c>
      <c r="AU39" s="171" t="s">
        <v>1</v>
      </c>
      <c r="AV39" s="509">
        <f t="shared" si="7"/>
        <v>0</v>
      </c>
    </row>
    <row r="40" spans="1:49" ht="15" customHeight="1" thickBot="1" x14ac:dyDescent="0.3">
      <c r="A40" s="244">
        <v>38</v>
      </c>
      <c r="B40" s="78" t="s">
        <v>50</v>
      </c>
      <c r="C40" s="77">
        <v>6</v>
      </c>
      <c r="D40" s="79">
        <v>45132</v>
      </c>
      <c r="E40" s="77" t="s">
        <v>273</v>
      </c>
      <c r="F40" s="77">
        <v>200590</v>
      </c>
      <c r="G40" s="77" t="s">
        <v>43</v>
      </c>
      <c r="H40" s="77" t="s">
        <v>52</v>
      </c>
      <c r="I40" s="526">
        <v>0.75</v>
      </c>
      <c r="J40" s="526">
        <v>0.75</v>
      </c>
      <c r="K40" s="526"/>
      <c r="L40" s="526"/>
      <c r="M40" s="80"/>
      <c r="N40" s="526"/>
      <c r="O40" s="526"/>
      <c r="P40" s="80"/>
      <c r="Q40" s="526"/>
      <c r="R40" s="80"/>
      <c r="S40" s="526"/>
      <c r="T40" s="119" t="str">
        <f t="shared" si="8"/>
        <v>B</v>
      </c>
      <c r="U40" s="77" t="s">
        <v>43</v>
      </c>
      <c r="V40" s="77" t="s">
        <v>54</v>
      </c>
      <c r="W40" s="77" t="s">
        <v>67</v>
      </c>
      <c r="X40" s="79">
        <v>45149</v>
      </c>
      <c r="Y40" s="245" t="s">
        <v>226</v>
      </c>
      <c r="Z40" s="82" t="s">
        <v>43</v>
      </c>
      <c r="AA40" s="77" t="s">
        <v>107</v>
      </c>
      <c r="AB40" s="77" t="s">
        <v>107</v>
      </c>
      <c r="AC40" s="77"/>
      <c r="AD40" s="82"/>
      <c r="AE40" s="599"/>
      <c r="AF40" s="84" t="s">
        <v>274</v>
      </c>
      <c r="AG40" s="77"/>
      <c r="AH40" s="14"/>
      <c r="AI40" s="747" t="s">
        <v>275</v>
      </c>
      <c r="AJ40" s="747"/>
      <c r="AK40" s="747"/>
      <c r="AL40" s="747"/>
      <c r="AM40" s="747"/>
      <c r="AN40" s="747"/>
      <c r="AO40" s="52"/>
      <c r="AP40" s="52"/>
      <c r="AQ40" s="52"/>
      <c r="AR40" s="361" t="s">
        <v>45</v>
      </c>
      <c r="AS40" s="175" t="s">
        <v>1</v>
      </c>
      <c r="AT40" s="514">
        <f t="shared" si="6"/>
        <v>1092</v>
      </c>
      <c r="AU40" s="175" t="s">
        <v>1</v>
      </c>
      <c r="AV40" s="510">
        <f t="shared" si="7"/>
        <v>0</v>
      </c>
    </row>
    <row r="41" spans="1:49" ht="15" customHeight="1" thickTop="1" thickBot="1" x14ac:dyDescent="0.3">
      <c r="A41" s="242">
        <v>39</v>
      </c>
      <c r="B41" s="78" t="s">
        <v>143</v>
      </c>
      <c r="C41" s="77">
        <v>19</v>
      </c>
      <c r="D41" s="79">
        <v>45136</v>
      </c>
      <c r="E41" s="77" t="s">
        <v>276</v>
      </c>
      <c r="F41" s="77">
        <v>200616</v>
      </c>
      <c r="G41" s="77" t="s">
        <v>43</v>
      </c>
      <c r="H41" s="77" t="s">
        <v>163</v>
      </c>
      <c r="I41" s="526">
        <v>0.1</v>
      </c>
      <c r="J41" s="526"/>
      <c r="K41" s="526"/>
      <c r="L41" s="526"/>
      <c r="M41" s="80" t="s">
        <v>163</v>
      </c>
      <c r="N41" s="526">
        <v>0.1</v>
      </c>
      <c r="O41" s="526"/>
      <c r="P41" s="80"/>
      <c r="Q41" s="526"/>
      <c r="R41" s="80"/>
      <c r="S41" s="526"/>
      <c r="T41" s="119" t="str">
        <f t="shared" si="8"/>
        <v>A</v>
      </c>
      <c r="U41" s="77" t="s">
        <v>43</v>
      </c>
      <c r="V41" s="77" t="s">
        <v>47</v>
      </c>
      <c r="W41" s="77" t="s">
        <v>67</v>
      </c>
      <c r="X41" s="79">
        <v>45137</v>
      </c>
      <c r="Y41" s="245" t="s">
        <v>277</v>
      </c>
      <c r="Z41" s="82" t="s">
        <v>43</v>
      </c>
      <c r="AA41" s="77" t="s">
        <v>107</v>
      </c>
      <c r="AB41" s="85" t="s">
        <v>107</v>
      </c>
      <c r="AC41" s="77"/>
      <c r="AD41" s="82"/>
      <c r="AE41" s="599"/>
      <c r="AF41" s="84" t="s">
        <v>278</v>
      </c>
      <c r="AG41" s="77"/>
      <c r="AH41" s="14"/>
      <c r="AI41" s="748"/>
      <c r="AJ41" s="748"/>
      <c r="AK41" s="748"/>
      <c r="AL41" s="748"/>
      <c r="AM41" s="748"/>
      <c r="AN41" s="748"/>
      <c r="AO41" s="52"/>
      <c r="AP41" s="52"/>
      <c r="AQ41" s="52"/>
      <c r="AR41" s="178" t="s">
        <v>181</v>
      </c>
      <c r="AS41" s="189">
        <f>SUM(AS19:AS40)</f>
        <v>47</v>
      </c>
      <c r="AT41" s="511">
        <f>SUM(AT19:AT40)</f>
        <v>17414.810000000005</v>
      </c>
      <c r="AU41" s="190">
        <f>SUM(AU19:AU40)</f>
        <v>23</v>
      </c>
      <c r="AV41" s="515">
        <f>SUM(AV19:AV40)</f>
        <v>163.85999999999999</v>
      </c>
    </row>
    <row r="42" spans="1:49" ht="15" customHeight="1" x14ac:dyDescent="0.25">
      <c r="A42" s="244">
        <v>40</v>
      </c>
      <c r="B42" s="78" t="s">
        <v>50</v>
      </c>
      <c r="C42" s="77">
        <v>7</v>
      </c>
      <c r="D42" s="79">
        <v>45137</v>
      </c>
      <c r="E42" s="77" t="s">
        <v>279</v>
      </c>
      <c r="F42" s="77">
        <v>200622</v>
      </c>
      <c r="G42" s="77" t="s">
        <v>43</v>
      </c>
      <c r="H42" s="77" t="s">
        <v>52</v>
      </c>
      <c r="I42" s="526">
        <v>0.1</v>
      </c>
      <c r="J42" s="526">
        <v>0.1</v>
      </c>
      <c r="K42" s="526"/>
      <c r="L42" s="526"/>
      <c r="M42" s="80"/>
      <c r="N42" s="526"/>
      <c r="O42" s="526"/>
      <c r="P42" s="80"/>
      <c r="Q42" s="526"/>
      <c r="R42" s="80"/>
      <c r="S42" s="526"/>
      <c r="T42" s="119" t="str">
        <f t="shared" si="8"/>
        <v>A</v>
      </c>
      <c r="U42" s="77" t="s">
        <v>43</v>
      </c>
      <c r="V42" s="77" t="s">
        <v>47</v>
      </c>
      <c r="W42" s="77" t="s">
        <v>67</v>
      </c>
      <c r="X42" s="79">
        <v>45138</v>
      </c>
      <c r="Y42" s="245" t="s">
        <v>280</v>
      </c>
      <c r="Z42" s="82" t="s">
        <v>43</v>
      </c>
      <c r="AA42" s="77" t="s">
        <v>107</v>
      </c>
      <c r="AB42" s="77" t="s">
        <v>107</v>
      </c>
      <c r="AC42" s="77"/>
      <c r="AD42" s="82"/>
      <c r="AE42" s="599"/>
      <c r="AF42" s="81" t="s">
        <v>281</v>
      </c>
      <c r="AG42" s="77"/>
      <c r="AH42" s="14"/>
      <c r="AI42" s="748"/>
      <c r="AJ42" s="748"/>
      <c r="AK42" s="748"/>
      <c r="AL42" s="748"/>
      <c r="AM42" s="748"/>
      <c r="AN42" s="748"/>
      <c r="AO42" s="52"/>
      <c r="AP42" s="52"/>
      <c r="AQ42" s="52"/>
    </row>
    <row r="43" spans="1:49" ht="15" customHeight="1" x14ac:dyDescent="0.25">
      <c r="A43" s="242">
        <v>41</v>
      </c>
      <c r="B43" s="78" t="s">
        <v>143</v>
      </c>
      <c r="C43" s="77">
        <v>20</v>
      </c>
      <c r="D43" s="79">
        <v>45140</v>
      </c>
      <c r="E43" s="77" t="s">
        <v>282</v>
      </c>
      <c r="F43" s="77">
        <v>200647</v>
      </c>
      <c r="G43" s="77" t="s">
        <v>43</v>
      </c>
      <c r="H43" s="77" t="s">
        <v>163</v>
      </c>
      <c r="I43" s="526">
        <v>0.1</v>
      </c>
      <c r="J43" s="526"/>
      <c r="K43" s="526"/>
      <c r="L43" s="526"/>
      <c r="M43" s="80" t="s">
        <v>163</v>
      </c>
      <c r="N43" s="526">
        <v>0.1</v>
      </c>
      <c r="O43" s="526"/>
      <c r="P43" s="80"/>
      <c r="Q43" s="526"/>
      <c r="R43" s="80"/>
      <c r="S43" s="526"/>
      <c r="T43" s="119" t="str">
        <f t="shared" si="8"/>
        <v>A</v>
      </c>
      <c r="U43" s="77" t="s">
        <v>43</v>
      </c>
      <c r="V43" s="77" t="s">
        <v>47</v>
      </c>
      <c r="W43" s="77" t="s">
        <v>67</v>
      </c>
      <c r="X43" s="79">
        <v>45148</v>
      </c>
      <c r="Y43" s="245" t="s">
        <v>283</v>
      </c>
      <c r="Z43" s="82" t="s">
        <v>43</v>
      </c>
      <c r="AA43" s="77" t="s">
        <v>107</v>
      </c>
      <c r="AB43" s="77" t="s">
        <v>107</v>
      </c>
      <c r="AC43" s="77"/>
      <c r="AD43" s="82"/>
      <c r="AE43" s="599"/>
      <c r="AF43" s="81" t="s">
        <v>284</v>
      </c>
      <c r="AG43" s="77"/>
      <c r="AH43" s="14"/>
      <c r="AI43" s="748"/>
      <c r="AJ43" s="748"/>
      <c r="AK43" s="748"/>
      <c r="AL43" s="748"/>
      <c r="AM43" s="748"/>
      <c r="AN43" s="748"/>
      <c r="AO43" s="52"/>
      <c r="AP43" s="52"/>
      <c r="AQ43" s="54"/>
    </row>
    <row r="44" spans="1:49" ht="15" customHeight="1" x14ac:dyDescent="0.25">
      <c r="A44" s="244">
        <v>42</v>
      </c>
      <c r="B44" s="78" t="s">
        <v>41</v>
      </c>
      <c r="C44" s="77">
        <v>11</v>
      </c>
      <c r="D44" s="79">
        <v>45142</v>
      </c>
      <c r="E44" s="77" t="s">
        <v>285</v>
      </c>
      <c r="F44" s="77">
        <v>200670</v>
      </c>
      <c r="G44" s="77" t="s">
        <v>43</v>
      </c>
      <c r="H44" s="77" t="s">
        <v>52</v>
      </c>
      <c r="I44" s="526">
        <v>0.1</v>
      </c>
      <c r="J44" s="526">
        <v>0.1</v>
      </c>
      <c r="K44" s="526"/>
      <c r="L44" s="526"/>
      <c r="M44" s="80"/>
      <c r="N44" s="526"/>
      <c r="O44" s="526"/>
      <c r="P44" s="80"/>
      <c r="Q44" s="526"/>
      <c r="R44" s="80"/>
      <c r="S44" s="526"/>
      <c r="T44" s="119" t="str">
        <f t="shared" si="8"/>
        <v>A</v>
      </c>
      <c r="U44" s="77" t="s">
        <v>43</v>
      </c>
      <c r="V44" s="77" t="s">
        <v>47</v>
      </c>
      <c r="W44" s="77" t="s">
        <v>67</v>
      </c>
      <c r="X44" s="79">
        <v>45143</v>
      </c>
      <c r="Y44" s="245" t="s">
        <v>286</v>
      </c>
      <c r="Z44" s="82" t="s">
        <v>43</v>
      </c>
      <c r="AA44" s="77" t="s">
        <v>107</v>
      </c>
      <c r="AB44" s="77" t="s">
        <v>107</v>
      </c>
      <c r="AC44" s="77"/>
      <c r="AD44" s="82"/>
      <c r="AE44" s="599"/>
      <c r="AF44" s="84" t="s">
        <v>287</v>
      </c>
      <c r="AG44" s="77"/>
      <c r="AH44" s="14"/>
      <c r="AI44" s="748"/>
      <c r="AJ44" s="748"/>
      <c r="AK44" s="748"/>
      <c r="AL44" s="748"/>
      <c r="AM44" s="748"/>
      <c r="AN44" s="748"/>
      <c r="AO44" s="52"/>
      <c r="AP44" s="52"/>
      <c r="AQ44" s="54"/>
    </row>
    <row r="45" spans="1:49" ht="15" customHeight="1" x14ac:dyDescent="0.25">
      <c r="A45" s="242">
        <v>43</v>
      </c>
      <c r="B45" s="78" t="s">
        <v>41</v>
      </c>
      <c r="C45" s="77">
        <v>12</v>
      </c>
      <c r="D45" s="79">
        <v>45142</v>
      </c>
      <c r="E45" s="77" t="s">
        <v>288</v>
      </c>
      <c r="F45" s="77">
        <v>200661</v>
      </c>
      <c r="G45" s="77" t="s">
        <v>43</v>
      </c>
      <c r="H45" s="77" t="s">
        <v>52</v>
      </c>
      <c r="I45" s="526">
        <v>0.1</v>
      </c>
      <c r="J45" s="526">
        <v>0.1</v>
      </c>
      <c r="K45" s="526"/>
      <c r="L45" s="526"/>
      <c r="M45" s="80"/>
      <c r="N45" s="526"/>
      <c r="O45" s="526"/>
      <c r="P45" s="80"/>
      <c r="Q45" s="526"/>
      <c r="R45" s="80"/>
      <c r="S45" s="526"/>
      <c r="T45" s="119" t="str">
        <f t="shared" si="8"/>
        <v>A</v>
      </c>
      <c r="U45" s="77" t="s">
        <v>43</v>
      </c>
      <c r="V45" s="77" t="s">
        <v>47</v>
      </c>
      <c r="W45" s="77" t="s">
        <v>67</v>
      </c>
      <c r="X45" s="79">
        <v>45145</v>
      </c>
      <c r="Y45" s="245" t="s">
        <v>289</v>
      </c>
      <c r="Z45" s="82" t="s">
        <v>43</v>
      </c>
      <c r="AA45" s="77" t="s">
        <v>107</v>
      </c>
      <c r="AB45" s="77" t="s">
        <v>107</v>
      </c>
      <c r="AC45" s="77"/>
      <c r="AD45" s="82"/>
      <c r="AE45" s="599"/>
      <c r="AF45" s="81" t="s">
        <v>290</v>
      </c>
      <c r="AG45" s="77"/>
      <c r="AH45" s="14"/>
      <c r="AI45" s="52"/>
      <c r="AJ45" s="52"/>
      <c r="AK45" s="52"/>
      <c r="AL45" s="52"/>
      <c r="AM45" s="52"/>
      <c r="AN45" s="52"/>
      <c r="AO45" s="52"/>
      <c r="AP45" s="52"/>
      <c r="AQ45" s="54"/>
    </row>
    <row r="46" spans="1:49" ht="15" customHeight="1" x14ac:dyDescent="0.25">
      <c r="A46" s="244">
        <v>44</v>
      </c>
      <c r="B46" s="78" t="s">
        <v>50</v>
      </c>
      <c r="C46" s="77">
        <v>8</v>
      </c>
      <c r="D46" s="79">
        <v>45145</v>
      </c>
      <c r="E46" s="77" t="s">
        <v>291</v>
      </c>
      <c r="F46" s="77">
        <v>200682</v>
      </c>
      <c r="G46" s="77" t="s">
        <v>43</v>
      </c>
      <c r="H46" s="77" t="s">
        <v>220</v>
      </c>
      <c r="I46" s="526">
        <v>0.25</v>
      </c>
      <c r="J46" s="526"/>
      <c r="K46" s="526"/>
      <c r="L46" s="526"/>
      <c r="M46" s="80" t="s">
        <v>220</v>
      </c>
      <c r="N46" s="526">
        <v>0.25</v>
      </c>
      <c r="O46" s="526"/>
      <c r="P46" s="80"/>
      <c r="Q46" s="526"/>
      <c r="R46" s="80"/>
      <c r="S46" s="526"/>
      <c r="T46" s="119" t="str">
        <f t="shared" si="8"/>
        <v>A</v>
      </c>
      <c r="U46" s="77" t="s">
        <v>43</v>
      </c>
      <c r="V46" s="77" t="s">
        <v>47</v>
      </c>
      <c r="W46" s="77" t="s">
        <v>67</v>
      </c>
      <c r="X46" s="79">
        <v>45145</v>
      </c>
      <c r="Y46" s="245" t="s">
        <v>292</v>
      </c>
      <c r="Z46" s="82" t="s">
        <v>43</v>
      </c>
      <c r="AA46" s="77" t="s">
        <v>107</v>
      </c>
      <c r="AB46" s="77" t="s">
        <v>107</v>
      </c>
      <c r="AC46" s="77"/>
      <c r="AD46" s="82"/>
      <c r="AE46" s="599"/>
      <c r="AF46" s="81" t="s">
        <v>171</v>
      </c>
      <c r="AG46" s="77"/>
      <c r="AH46" s="14"/>
      <c r="AI46" s="55"/>
      <c r="AJ46" s="55"/>
      <c r="AK46" s="55"/>
      <c r="AL46" s="55"/>
      <c r="AM46" s="52"/>
      <c r="AN46" s="52"/>
      <c r="AO46" s="52"/>
      <c r="AP46" s="52"/>
      <c r="AQ46" s="52"/>
    </row>
    <row r="47" spans="1:49" ht="15" customHeight="1" x14ac:dyDescent="0.25">
      <c r="A47" s="242">
        <v>45</v>
      </c>
      <c r="B47" s="78" t="s">
        <v>143</v>
      </c>
      <c r="C47" s="77">
        <v>21</v>
      </c>
      <c r="D47" s="79">
        <v>45145</v>
      </c>
      <c r="E47" s="77" t="s">
        <v>293</v>
      </c>
      <c r="F47" s="77">
        <v>200683</v>
      </c>
      <c r="G47" s="77" t="s">
        <v>43</v>
      </c>
      <c r="H47" s="77" t="s">
        <v>52</v>
      </c>
      <c r="I47" s="526">
        <v>0.1</v>
      </c>
      <c r="J47" s="526">
        <v>0.1</v>
      </c>
      <c r="K47" s="526"/>
      <c r="L47" s="526"/>
      <c r="M47" s="80"/>
      <c r="N47" s="526"/>
      <c r="O47" s="526"/>
      <c r="P47" s="80"/>
      <c r="Q47" s="526"/>
      <c r="R47" s="80"/>
      <c r="S47" s="526"/>
      <c r="T47" s="119" t="str">
        <f t="shared" si="8"/>
        <v>A</v>
      </c>
      <c r="U47" s="77" t="s">
        <v>43</v>
      </c>
      <c r="V47" s="77" t="s">
        <v>54</v>
      </c>
      <c r="W47" s="77" t="s">
        <v>67</v>
      </c>
      <c r="X47" s="79">
        <v>45151</v>
      </c>
      <c r="Y47" s="245" t="s">
        <v>61</v>
      </c>
      <c r="Z47" s="82" t="s">
        <v>43</v>
      </c>
      <c r="AA47" s="77" t="s">
        <v>107</v>
      </c>
      <c r="AB47" s="85" t="s">
        <v>107</v>
      </c>
      <c r="AC47" s="77"/>
      <c r="AD47" s="82"/>
      <c r="AE47" s="599"/>
      <c r="AF47" s="84" t="s">
        <v>171</v>
      </c>
      <c r="AG47" s="77"/>
      <c r="AH47" s="14"/>
      <c r="AI47" s="55"/>
      <c r="AJ47" s="55"/>
      <c r="AK47" s="55"/>
      <c r="AL47" s="55"/>
      <c r="AM47" s="55"/>
      <c r="AN47" s="55"/>
      <c r="AO47" s="52"/>
      <c r="AP47" s="52"/>
      <c r="AQ47" s="52"/>
    </row>
    <row r="48" spans="1:49" ht="15" customHeight="1" x14ac:dyDescent="0.25">
      <c r="A48" s="244">
        <v>46</v>
      </c>
      <c r="B48" s="78" t="s">
        <v>143</v>
      </c>
      <c r="C48" s="77">
        <v>22</v>
      </c>
      <c r="D48" s="79">
        <v>45147</v>
      </c>
      <c r="E48" s="77">
        <v>431</v>
      </c>
      <c r="F48" s="77">
        <v>200686</v>
      </c>
      <c r="G48" s="77" t="s">
        <v>43</v>
      </c>
      <c r="H48" s="77" t="s">
        <v>52</v>
      </c>
      <c r="I48" s="526">
        <v>0.1</v>
      </c>
      <c r="J48" s="526">
        <v>0.1</v>
      </c>
      <c r="K48" s="526"/>
      <c r="L48" s="526"/>
      <c r="M48" s="80"/>
      <c r="N48" s="526"/>
      <c r="O48" s="526"/>
      <c r="P48" s="80"/>
      <c r="Q48" s="526"/>
      <c r="R48" s="80"/>
      <c r="S48" s="526"/>
      <c r="T48" s="119" t="str">
        <f t="shared" si="8"/>
        <v>A</v>
      </c>
      <c r="U48" s="77" t="s">
        <v>43</v>
      </c>
      <c r="V48" s="77" t="s">
        <v>47</v>
      </c>
      <c r="W48" s="77" t="s">
        <v>67</v>
      </c>
      <c r="X48" s="79">
        <v>45150</v>
      </c>
      <c r="Y48" s="245" t="s">
        <v>294</v>
      </c>
      <c r="Z48" s="82" t="s">
        <v>43</v>
      </c>
      <c r="AA48" s="77" t="s">
        <v>107</v>
      </c>
      <c r="AB48" s="77" t="s">
        <v>107</v>
      </c>
      <c r="AC48" s="77"/>
      <c r="AD48" s="82"/>
      <c r="AE48" s="599" t="s">
        <v>295</v>
      </c>
      <c r="AF48" s="84" t="s">
        <v>296</v>
      </c>
      <c r="AG48" s="77"/>
      <c r="AH48" s="14"/>
      <c r="AI48" s="55"/>
      <c r="AJ48" s="55"/>
      <c r="AK48" s="55"/>
      <c r="AL48" s="55"/>
      <c r="AM48" s="55"/>
      <c r="AN48" s="55"/>
      <c r="AO48" s="52"/>
      <c r="AP48" s="52"/>
      <c r="AQ48" s="52"/>
    </row>
    <row r="49" spans="1:43" ht="15" customHeight="1" x14ac:dyDescent="0.25">
      <c r="A49" s="242">
        <v>47</v>
      </c>
      <c r="B49" s="78" t="s">
        <v>50</v>
      </c>
      <c r="C49" s="77">
        <v>9</v>
      </c>
      <c r="D49" s="79">
        <v>45149</v>
      </c>
      <c r="E49" s="77" t="s">
        <v>297</v>
      </c>
      <c r="F49" s="77">
        <v>200696</v>
      </c>
      <c r="G49" s="77" t="s">
        <v>43</v>
      </c>
      <c r="H49" s="77" t="s">
        <v>163</v>
      </c>
      <c r="I49" s="526">
        <v>0.1</v>
      </c>
      <c r="J49" s="526"/>
      <c r="K49" s="526"/>
      <c r="L49" s="526"/>
      <c r="M49" s="80" t="s">
        <v>163</v>
      </c>
      <c r="N49" s="526">
        <v>0.1</v>
      </c>
      <c r="O49" s="526"/>
      <c r="P49" s="80"/>
      <c r="Q49" s="526"/>
      <c r="R49" s="80"/>
      <c r="S49" s="526"/>
      <c r="T49" s="119" t="str">
        <f t="shared" si="8"/>
        <v>A</v>
      </c>
      <c r="U49" s="77" t="s">
        <v>43</v>
      </c>
      <c r="V49" s="77" t="s">
        <v>47</v>
      </c>
      <c r="W49" s="77" t="s">
        <v>67</v>
      </c>
      <c r="X49" s="79">
        <v>45149</v>
      </c>
      <c r="Y49" s="245" t="s">
        <v>298</v>
      </c>
      <c r="Z49" s="82" t="s">
        <v>43</v>
      </c>
      <c r="AA49" s="77" t="s">
        <v>107</v>
      </c>
      <c r="AB49" s="77" t="s">
        <v>107</v>
      </c>
      <c r="AC49" s="77"/>
      <c r="AD49" s="82"/>
      <c r="AE49" s="599"/>
      <c r="AF49" s="84" t="s">
        <v>299</v>
      </c>
      <c r="AG49" s="77"/>
      <c r="AH49" s="14"/>
      <c r="AI49" s="55"/>
      <c r="AJ49" s="55"/>
      <c r="AK49" s="55"/>
      <c r="AL49" s="55"/>
      <c r="AM49" s="55"/>
      <c r="AN49" s="55"/>
      <c r="AO49" s="52"/>
      <c r="AP49" s="52"/>
      <c r="AQ49" s="52"/>
    </row>
    <row r="50" spans="1:43" ht="15" customHeight="1" x14ac:dyDescent="0.25">
      <c r="A50" s="244">
        <v>48</v>
      </c>
      <c r="B50" s="78" t="s">
        <v>41</v>
      </c>
      <c r="C50" s="77">
        <v>13</v>
      </c>
      <c r="D50" s="79">
        <v>45156</v>
      </c>
      <c r="E50" s="77" t="s">
        <v>42</v>
      </c>
      <c r="F50" s="77">
        <v>200730</v>
      </c>
      <c r="G50" s="77" t="s">
        <v>43</v>
      </c>
      <c r="H50" s="77" t="s">
        <v>44</v>
      </c>
      <c r="I50" s="526">
        <v>17313</v>
      </c>
      <c r="J50" s="526">
        <v>7461</v>
      </c>
      <c r="K50" s="526"/>
      <c r="L50" s="526"/>
      <c r="M50" s="80" t="s">
        <v>44</v>
      </c>
      <c r="N50" s="526">
        <v>8227</v>
      </c>
      <c r="O50" s="526">
        <v>533</v>
      </c>
      <c r="P50" s="80" t="s">
        <v>45</v>
      </c>
      <c r="Q50" s="526">
        <v>1092</v>
      </c>
      <c r="R50" s="80"/>
      <c r="S50" s="526"/>
      <c r="T50" s="119" t="str">
        <f t="shared" si="8"/>
        <v>G</v>
      </c>
      <c r="U50" s="77" t="s">
        <v>43</v>
      </c>
      <c r="V50" s="77" t="s">
        <v>47</v>
      </c>
      <c r="W50" s="77" t="s">
        <v>67</v>
      </c>
      <c r="X50" s="79">
        <v>45224</v>
      </c>
      <c r="Y50" s="245" t="s">
        <v>49</v>
      </c>
      <c r="Z50" s="82" t="s">
        <v>43</v>
      </c>
      <c r="AA50" s="77" t="s">
        <v>107</v>
      </c>
      <c r="AB50" s="77" t="s">
        <v>107</v>
      </c>
      <c r="AC50" s="538" t="s">
        <v>300</v>
      </c>
      <c r="AD50" s="82" t="s">
        <v>107</v>
      </c>
      <c r="AE50" s="599" t="s">
        <v>301</v>
      </c>
      <c r="AF50" s="84"/>
      <c r="AG50" s="77"/>
      <c r="AH50" s="42"/>
      <c r="AI50" s="55"/>
      <c r="AJ50" s="55"/>
      <c r="AK50" s="55"/>
      <c r="AL50" s="55"/>
      <c r="AM50" s="55"/>
      <c r="AN50" s="55"/>
      <c r="AO50" s="52"/>
      <c r="AP50" s="52"/>
      <c r="AQ50" s="52"/>
    </row>
    <row r="51" spans="1:43" ht="15" customHeight="1" x14ac:dyDescent="0.25">
      <c r="A51" s="242">
        <v>49</v>
      </c>
      <c r="B51" s="78" t="s">
        <v>41</v>
      </c>
      <c r="C51" s="77">
        <v>14</v>
      </c>
      <c r="D51" s="79">
        <v>45159</v>
      </c>
      <c r="E51" s="77" t="s">
        <v>302</v>
      </c>
      <c r="F51" s="77">
        <v>200736</v>
      </c>
      <c r="G51" s="77" t="s">
        <v>43</v>
      </c>
      <c r="H51" s="77" t="s">
        <v>44</v>
      </c>
      <c r="I51" s="526">
        <v>0.75</v>
      </c>
      <c r="J51" s="526"/>
      <c r="K51" s="526"/>
      <c r="L51" s="526"/>
      <c r="M51" s="80" t="s">
        <v>44</v>
      </c>
      <c r="N51" s="526">
        <v>0.75</v>
      </c>
      <c r="O51" s="526"/>
      <c r="P51" s="80"/>
      <c r="Q51" s="526"/>
      <c r="R51" s="80"/>
      <c r="S51" s="526"/>
      <c r="T51" s="119" t="str">
        <f t="shared" si="8"/>
        <v>B</v>
      </c>
      <c r="U51" s="77" t="s">
        <v>43</v>
      </c>
      <c r="V51" s="77" t="s">
        <v>47</v>
      </c>
      <c r="W51" s="77" t="s">
        <v>67</v>
      </c>
      <c r="X51" s="79">
        <v>45159</v>
      </c>
      <c r="Y51" s="245" t="s">
        <v>303</v>
      </c>
      <c r="Z51" s="82" t="s">
        <v>43</v>
      </c>
      <c r="AA51" s="77" t="s">
        <v>107</v>
      </c>
      <c r="AB51" s="77" t="s">
        <v>107</v>
      </c>
      <c r="AC51" s="77"/>
      <c r="AD51" s="82"/>
      <c r="AE51" s="599"/>
      <c r="AF51" s="84" t="s">
        <v>171</v>
      </c>
      <c r="AG51" s="77"/>
      <c r="AH51" s="42"/>
      <c r="AI51" s="55"/>
      <c r="AJ51" s="55"/>
      <c r="AK51" s="55"/>
      <c r="AL51" s="55"/>
      <c r="AM51" s="55"/>
      <c r="AN51" s="55"/>
      <c r="AO51" s="55"/>
      <c r="AP51" s="55"/>
      <c r="AQ51" s="52"/>
    </row>
    <row r="52" spans="1:43" ht="15" customHeight="1" x14ac:dyDescent="0.25">
      <c r="A52" s="244">
        <v>50</v>
      </c>
      <c r="B52" s="78" t="s">
        <v>41</v>
      </c>
      <c r="C52" s="77">
        <v>15</v>
      </c>
      <c r="D52" s="79">
        <v>45167</v>
      </c>
      <c r="E52" s="77" t="s">
        <v>304</v>
      </c>
      <c r="F52" s="77">
        <v>200762</v>
      </c>
      <c r="G52" s="77" t="s">
        <v>43</v>
      </c>
      <c r="H52" s="77" t="s">
        <v>52</v>
      </c>
      <c r="I52" s="526">
        <v>0.1</v>
      </c>
      <c r="J52" s="526">
        <v>0.1</v>
      </c>
      <c r="K52" s="526"/>
      <c r="L52" s="526"/>
      <c r="M52" s="80"/>
      <c r="N52" s="526"/>
      <c r="O52" s="526"/>
      <c r="P52" s="80"/>
      <c r="Q52" s="526"/>
      <c r="R52" s="80"/>
      <c r="S52" s="526"/>
      <c r="T52" s="119" t="s">
        <v>66</v>
      </c>
      <c r="U52" s="77" t="s">
        <v>43</v>
      </c>
      <c r="V52" s="77" t="s">
        <v>54</v>
      </c>
      <c r="W52" s="77" t="s">
        <v>67</v>
      </c>
      <c r="X52" s="79">
        <v>45168</v>
      </c>
      <c r="Y52" s="245" t="s">
        <v>61</v>
      </c>
      <c r="Z52" s="82" t="s">
        <v>43</v>
      </c>
      <c r="AA52" s="77" t="s">
        <v>107</v>
      </c>
      <c r="AB52" s="77" t="s">
        <v>107</v>
      </c>
      <c r="AC52" s="77"/>
      <c r="AD52" s="82"/>
      <c r="AE52" s="599" t="s">
        <v>305</v>
      </c>
      <c r="AF52" s="84" t="s">
        <v>306</v>
      </c>
      <c r="AG52" s="77"/>
      <c r="AH52" s="42"/>
      <c r="AI52" s="55"/>
      <c r="AJ52" s="55"/>
      <c r="AK52" s="55"/>
      <c r="AL52" s="55"/>
      <c r="AM52" s="55"/>
      <c r="AN52" s="55"/>
      <c r="AO52" s="55"/>
      <c r="AP52" s="55"/>
      <c r="AQ52" s="52"/>
    </row>
    <row r="53" spans="1:43" ht="15" customHeight="1" x14ac:dyDescent="0.25">
      <c r="A53" s="242">
        <v>51</v>
      </c>
      <c r="B53" s="78" t="s">
        <v>50</v>
      </c>
      <c r="C53" s="77">
        <v>10</v>
      </c>
      <c r="D53" s="79">
        <v>45167</v>
      </c>
      <c r="E53" s="77" t="s">
        <v>307</v>
      </c>
      <c r="F53" s="77">
        <v>200763</v>
      </c>
      <c r="G53" s="77" t="s">
        <v>43</v>
      </c>
      <c r="H53" s="77" t="s">
        <v>52</v>
      </c>
      <c r="I53" s="526">
        <v>0.1</v>
      </c>
      <c r="J53" s="526">
        <v>0.1</v>
      </c>
      <c r="K53" s="526"/>
      <c r="L53" s="526"/>
      <c r="M53" s="80"/>
      <c r="N53" s="526"/>
      <c r="O53" s="526"/>
      <c r="P53" s="80"/>
      <c r="Q53" s="526"/>
      <c r="R53" s="80"/>
      <c r="S53" s="526"/>
      <c r="T53" s="119" t="s">
        <v>66</v>
      </c>
      <c r="U53" s="77" t="s">
        <v>43</v>
      </c>
      <c r="V53" s="77" t="s">
        <v>54</v>
      </c>
      <c r="W53" s="77" t="s">
        <v>67</v>
      </c>
      <c r="X53" s="79">
        <v>45180</v>
      </c>
      <c r="Y53" s="245" t="s">
        <v>61</v>
      </c>
      <c r="Z53" s="82" t="s">
        <v>43</v>
      </c>
      <c r="AA53" s="77" t="s">
        <v>107</v>
      </c>
      <c r="AB53" s="77" t="s">
        <v>107</v>
      </c>
      <c r="AC53" s="77"/>
      <c r="AD53" s="82"/>
      <c r="AE53" s="599" t="s">
        <v>308</v>
      </c>
      <c r="AF53" s="84" t="s">
        <v>309</v>
      </c>
      <c r="AG53" s="77"/>
      <c r="AH53" s="42"/>
      <c r="AI53" s="55"/>
      <c r="AJ53" s="55"/>
      <c r="AK53" s="55"/>
      <c r="AL53" s="55"/>
      <c r="AM53" s="55"/>
      <c r="AN53" s="55"/>
      <c r="AO53" s="55"/>
      <c r="AP53" s="55"/>
      <c r="AQ53" s="52"/>
    </row>
    <row r="54" spans="1:43" ht="15" customHeight="1" x14ac:dyDescent="0.25">
      <c r="A54" s="244">
        <v>52</v>
      </c>
      <c r="B54" s="78" t="s">
        <v>143</v>
      </c>
      <c r="C54" s="77">
        <v>23</v>
      </c>
      <c r="D54" s="79">
        <v>45167</v>
      </c>
      <c r="E54" s="77" t="s">
        <v>310</v>
      </c>
      <c r="F54" s="77">
        <v>200766</v>
      </c>
      <c r="G54" s="77" t="s">
        <v>43</v>
      </c>
      <c r="H54" s="77" t="s">
        <v>52</v>
      </c>
      <c r="I54" s="526">
        <v>0.1</v>
      </c>
      <c r="J54" s="526">
        <v>0.1</v>
      </c>
      <c r="K54" s="526"/>
      <c r="L54" s="526"/>
      <c r="M54" s="80"/>
      <c r="N54" s="526"/>
      <c r="O54" s="526"/>
      <c r="P54" s="80"/>
      <c r="Q54" s="526"/>
      <c r="R54" s="80"/>
      <c r="S54" s="526"/>
      <c r="T54" s="119" t="s">
        <v>66</v>
      </c>
      <c r="U54" s="77" t="s">
        <v>43</v>
      </c>
      <c r="V54" s="77" t="s">
        <v>54</v>
      </c>
      <c r="W54" s="77" t="s">
        <v>67</v>
      </c>
      <c r="X54" s="79">
        <v>45168</v>
      </c>
      <c r="Y54" s="245" t="s">
        <v>61</v>
      </c>
      <c r="Z54" s="82" t="s">
        <v>43</v>
      </c>
      <c r="AA54" s="77" t="s">
        <v>107</v>
      </c>
      <c r="AB54" s="77" t="s">
        <v>107</v>
      </c>
      <c r="AC54" s="77"/>
      <c r="AD54" s="82"/>
      <c r="AE54" s="599" t="s">
        <v>308</v>
      </c>
      <c r="AF54" s="84" t="s">
        <v>311</v>
      </c>
      <c r="AG54" s="77"/>
      <c r="AH54" s="42"/>
      <c r="AI54" s="55"/>
      <c r="AJ54" s="55"/>
      <c r="AK54" s="55"/>
      <c r="AL54" s="55"/>
      <c r="AM54" s="55"/>
      <c r="AN54" s="55"/>
      <c r="AO54" s="55"/>
      <c r="AP54" s="55"/>
      <c r="AQ54" s="52"/>
    </row>
    <row r="55" spans="1:43" ht="15" customHeight="1" x14ac:dyDescent="0.25">
      <c r="A55" s="242">
        <v>53</v>
      </c>
      <c r="B55" s="78" t="s">
        <v>41</v>
      </c>
      <c r="C55" s="77">
        <v>16</v>
      </c>
      <c r="D55" s="79">
        <v>45167</v>
      </c>
      <c r="E55" s="77">
        <v>2123</v>
      </c>
      <c r="F55" s="77">
        <v>200767</v>
      </c>
      <c r="G55" s="77" t="s">
        <v>43</v>
      </c>
      <c r="H55" s="77" t="s">
        <v>151</v>
      </c>
      <c r="I55" s="526">
        <v>0.1</v>
      </c>
      <c r="J55" s="526"/>
      <c r="K55" s="526">
        <v>0.1</v>
      </c>
      <c r="L55" s="526"/>
      <c r="M55" s="80"/>
      <c r="N55" s="526"/>
      <c r="O55" s="526"/>
      <c r="P55" s="80"/>
      <c r="Q55" s="526"/>
      <c r="R55" s="80"/>
      <c r="S55" s="526"/>
      <c r="T55" s="119" t="s">
        <v>66</v>
      </c>
      <c r="U55" s="77" t="s">
        <v>43</v>
      </c>
      <c r="V55" s="77" t="s">
        <v>54</v>
      </c>
      <c r="W55" s="77" t="s">
        <v>67</v>
      </c>
      <c r="X55" s="79">
        <v>45168</v>
      </c>
      <c r="Y55" s="245" t="s">
        <v>61</v>
      </c>
      <c r="Z55" s="82" t="s">
        <v>43</v>
      </c>
      <c r="AA55" s="77" t="s">
        <v>107</v>
      </c>
      <c r="AB55" s="85" t="s">
        <v>107</v>
      </c>
      <c r="AC55" s="77"/>
      <c r="AD55" s="82"/>
      <c r="AE55" s="599" t="s">
        <v>308</v>
      </c>
      <c r="AF55" s="84" t="s">
        <v>312</v>
      </c>
      <c r="AG55" s="77"/>
      <c r="AH55" s="42"/>
      <c r="AI55" s="55"/>
      <c r="AJ55" s="55"/>
      <c r="AK55" s="55"/>
      <c r="AL55" s="55"/>
      <c r="AM55" s="55"/>
      <c r="AN55" s="55"/>
      <c r="AO55" s="55"/>
      <c r="AP55" s="55"/>
      <c r="AQ55" s="52"/>
    </row>
    <row r="56" spans="1:43" ht="15" customHeight="1" x14ac:dyDescent="0.25">
      <c r="A56" s="244">
        <v>54</v>
      </c>
      <c r="B56" s="78" t="s">
        <v>41</v>
      </c>
      <c r="C56" s="77">
        <v>17</v>
      </c>
      <c r="D56" s="79">
        <v>45167</v>
      </c>
      <c r="E56" s="77" t="s">
        <v>313</v>
      </c>
      <c r="F56" s="77">
        <v>200768</v>
      </c>
      <c r="G56" s="77" t="s">
        <v>43</v>
      </c>
      <c r="H56" s="77" t="s">
        <v>44</v>
      </c>
      <c r="I56" s="526">
        <v>0.1</v>
      </c>
      <c r="J56" s="526"/>
      <c r="K56" s="526"/>
      <c r="L56" s="526"/>
      <c r="M56" s="80" t="s">
        <v>44</v>
      </c>
      <c r="N56" s="526">
        <v>0.1</v>
      </c>
      <c r="O56" s="526"/>
      <c r="P56" s="80"/>
      <c r="Q56" s="526"/>
      <c r="R56" s="80"/>
      <c r="S56" s="526"/>
      <c r="T56" s="119" t="s">
        <v>66</v>
      </c>
      <c r="U56" s="77" t="s">
        <v>43</v>
      </c>
      <c r="V56" s="77" t="s">
        <v>54</v>
      </c>
      <c r="W56" s="77" t="s">
        <v>67</v>
      </c>
      <c r="X56" s="79">
        <v>45168</v>
      </c>
      <c r="Y56" s="245" t="s">
        <v>61</v>
      </c>
      <c r="Z56" s="82" t="s">
        <v>43</v>
      </c>
      <c r="AA56" s="77" t="s">
        <v>107</v>
      </c>
      <c r="AB56" s="85" t="s">
        <v>107</v>
      </c>
      <c r="AC56" s="77"/>
      <c r="AD56" s="82"/>
      <c r="AE56" s="599" t="s">
        <v>308</v>
      </c>
      <c r="AF56" s="84" t="s">
        <v>312</v>
      </c>
      <c r="AG56" s="77"/>
      <c r="AH56" s="14"/>
      <c r="AI56" s="55"/>
      <c r="AJ56" s="55"/>
      <c r="AK56" s="55"/>
      <c r="AL56" s="55"/>
      <c r="AM56" s="55"/>
      <c r="AN56" s="55"/>
      <c r="AO56" s="55"/>
      <c r="AP56" s="55"/>
      <c r="AQ56" s="52"/>
    </row>
    <row r="57" spans="1:43" ht="15" customHeight="1" x14ac:dyDescent="0.25">
      <c r="A57" s="242">
        <v>55</v>
      </c>
      <c r="B57" s="78" t="s">
        <v>41</v>
      </c>
      <c r="C57" s="77">
        <v>18</v>
      </c>
      <c r="D57" s="79">
        <v>45167</v>
      </c>
      <c r="E57" s="77" t="s">
        <v>314</v>
      </c>
      <c r="F57" s="77">
        <v>200770</v>
      </c>
      <c r="G57" s="77" t="s">
        <v>43</v>
      </c>
      <c r="H57" s="77" t="s">
        <v>44</v>
      </c>
      <c r="I57" s="526">
        <v>0.1</v>
      </c>
      <c r="J57" s="526"/>
      <c r="K57" s="526"/>
      <c r="L57" s="526"/>
      <c r="M57" s="80" t="s">
        <v>44</v>
      </c>
      <c r="N57" s="526">
        <v>0.1</v>
      </c>
      <c r="O57" s="526"/>
      <c r="P57" s="80"/>
      <c r="Q57" s="526"/>
      <c r="R57" s="80"/>
      <c r="S57" s="526"/>
      <c r="T57" s="119" t="s">
        <v>66</v>
      </c>
      <c r="U57" s="77" t="s">
        <v>43</v>
      </c>
      <c r="V57" s="77" t="s">
        <v>54</v>
      </c>
      <c r="W57" s="77" t="s">
        <v>67</v>
      </c>
      <c r="X57" s="79">
        <v>45168</v>
      </c>
      <c r="Y57" s="245" t="s">
        <v>61</v>
      </c>
      <c r="Z57" s="82" t="s">
        <v>43</v>
      </c>
      <c r="AA57" s="77" t="s">
        <v>107</v>
      </c>
      <c r="AB57" s="77" t="s">
        <v>107</v>
      </c>
      <c r="AC57" s="77"/>
      <c r="AD57" s="82"/>
      <c r="AE57" s="599" t="s">
        <v>308</v>
      </c>
      <c r="AF57" s="84" t="s">
        <v>312</v>
      </c>
      <c r="AG57" s="77"/>
      <c r="AH57" s="14"/>
      <c r="AI57" s="55" t="s">
        <v>315</v>
      </c>
      <c r="AJ57" s="55"/>
      <c r="AK57" s="55"/>
      <c r="AL57" s="55"/>
      <c r="AM57" s="55"/>
      <c r="AN57" s="55"/>
      <c r="AO57" s="55"/>
      <c r="AP57" s="55"/>
      <c r="AQ57" s="52"/>
    </row>
    <row r="58" spans="1:43" ht="15" customHeight="1" x14ac:dyDescent="0.25">
      <c r="A58" s="244">
        <v>56</v>
      </c>
      <c r="B58" s="78" t="s">
        <v>50</v>
      </c>
      <c r="C58" s="77">
        <v>11</v>
      </c>
      <c r="D58" s="79">
        <v>45169</v>
      </c>
      <c r="E58" s="77" t="s">
        <v>316</v>
      </c>
      <c r="F58" s="77">
        <v>200781</v>
      </c>
      <c r="G58" s="77" t="s">
        <v>43</v>
      </c>
      <c r="H58" s="77" t="s">
        <v>52</v>
      </c>
      <c r="I58" s="526">
        <v>0.1</v>
      </c>
      <c r="J58" s="526">
        <v>0.1</v>
      </c>
      <c r="K58" s="526"/>
      <c r="L58" s="526"/>
      <c r="M58" s="80"/>
      <c r="N58" s="526"/>
      <c r="O58" s="526"/>
      <c r="P58" s="80"/>
      <c r="Q58" s="526"/>
      <c r="R58" s="80"/>
      <c r="S58" s="526"/>
      <c r="T58" s="119" t="s">
        <v>66</v>
      </c>
      <c r="U58" s="77" t="s">
        <v>43</v>
      </c>
      <c r="V58" s="77" t="s">
        <v>47</v>
      </c>
      <c r="W58" s="77" t="s">
        <v>67</v>
      </c>
      <c r="X58" s="79">
        <v>45170</v>
      </c>
      <c r="Y58" s="245" t="s">
        <v>317</v>
      </c>
      <c r="Z58" s="82" t="s">
        <v>43</v>
      </c>
      <c r="AA58" s="77" t="s">
        <v>107</v>
      </c>
      <c r="AB58" s="77" t="s">
        <v>107</v>
      </c>
      <c r="AC58" s="77"/>
      <c r="AD58" s="82"/>
      <c r="AE58" s="599" t="s">
        <v>318</v>
      </c>
      <c r="AF58" s="84" t="s">
        <v>319</v>
      </c>
      <c r="AG58" s="77"/>
      <c r="AH58" s="14"/>
      <c r="AI58" s="55"/>
      <c r="AJ58" s="55"/>
      <c r="AK58" s="55"/>
      <c r="AL58" s="55"/>
      <c r="AM58" s="55"/>
      <c r="AN58" s="55"/>
      <c r="AO58" s="55"/>
      <c r="AP58" s="55"/>
      <c r="AQ58" s="52"/>
    </row>
    <row r="59" spans="1:43" ht="15" customHeight="1" x14ac:dyDescent="0.25">
      <c r="A59" s="242">
        <v>57</v>
      </c>
      <c r="B59" s="78" t="s">
        <v>50</v>
      </c>
      <c r="C59" s="77">
        <v>12</v>
      </c>
      <c r="D59" s="79">
        <v>45178</v>
      </c>
      <c r="E59" s="77" t="s">
        <v>51</v>
      </c>
      <c r="F59" s="77">
        <v>200797</v>
      </c>
      <c r="G59" s="77" t="s">
        <v>43</v>
      </c>
      <c r="H59" s="77" t="s">
        <v>52</v>
      </c>
      <c r="I59" s="526">
        <v>158</v>
      </c>
      <c r="J59" s="526">
        <v>158</v>
      </c>
      <c r="K59" s="526"/>
      <c r="L59" s="526"/>
      <c r="M59" s="80"/>
      <c r="N59" s="526"/>
      <c r="O59" s="526"/>
      <c r="P59" s="80"/>
      <c r="Q59" s="526"/>
      <c r="R59" s="80"/>
      <c r="S59" s="526"/>
      <c r="T59" s="119" t="str">
        <f t="shared" ref="T59:T90" si="9">IF($I59&lt;=0, " ",IF($I59&lt;=0.25, "A",IF($I59&lt;10, "B",IF($I59&lt;100, "C", IF($I59&lt;300, "D",IF($I59&lt;1000, "E",IF($I59&lt;5000,"F",IF($I59&gt;=5000, "G"))))))))</f>
        <v>D</v>
      </c>
      <c r="U59" s="77" t="s">
        <v>43</v>
      </c>
      <c r="V59" s="77" t="s">
        <v>54</v>
      </c>
      <c r="W59" s="77" t="s">
        <v>67</v>
      </c>
      <c r="X59" s="79">
        <v>45224</v>
      </c>
      <c r="Y59" s="245" t="s">
        <v>55</v>
      </c>
      <c r="Z59" s="82" t="s">
        <v>267</v>
      </c>
      <c r="AA59" s="77" t="s">
        <v>107</v>
      </c>
      <c r="AB59" s="77" t="s">
        <v>107</v>
      </c>
      <c r="AC59" s="538" t="s">
        <v>320</v>
      </c>
      <c r="AD59" s="82"/>
      <c r="AE59" s="601" t="s">
        <v>321</v>
      </c>
      <c r="AF59" s="84"/>
      <c r="AG59" s="77"/>
      <c r="AH59" s="14"/>
      <c r="AI59" s="55"/>
      <c r="AJ59" s="55"/>
      <c r="AK59" s="55"/>
      <c r="AL59" s="55"/>
      <c r="AM59" s="55"/>
      <c r="AN59" s="55"/>
      <c r="AO59" s="55"/>
      <c r="AP59" s="55"/>
      <c r="AQ59" s="52"/>
    </row>
    <row r="60" spans="1:43" ht="15" customHeight="1" x14ac:dyDescent="0.25">
      <c r="A60" s="244">
        <v>58</v>
      </c>
      <c r="B60" s="78" t="s">
        <v>143</v>
      </c>
      <c r="C60" s="77">
        <v>24</v>
      </c>
      <c r="D60" s="79">
        <v>45179</v>
      </c>
      <c r="E60" s="77" t="s">
        <v>322</v>
      </c>
      <c r="F60" s="77">
        <v>200800</v>
      </c>
      <c r="G60" s="77" t="s">
        <v>43</v>
      </c>
      <c r="H60" s="77" t="s">
        <v>163</v>
      </c>
      <c r="I60" s="526">
        <v>0.1</v>
      </c>
      <c r="J60" s="526"/>
      <c r="K60" s="526"/>
      <c r="L60" s="526"/>
      <c r="M60" s="80" t="s">
        <v>163</v>
      </c>
      <c r="N60" s="526">
        <v>0.1</v>
      </c>
      <c r="O60" s="526"/>
      <c r="P60" s="80"/>
      <c r="Q60" s="526"/>
      <c r="R60" s="80"/>
      <c r="S60" s="526"/>
      <c r="T60" s="119" t="str">
        <f t="shared" si="9"/>
        <v>A</v>
      </c>
      <c r="U60" s="77" t="s">
        <v>43</v>
      </c>
      <c r="V60" s="77" t="s">
        <v>47</v>
      </c>
      <c r="W60" s="77" t="s">
        <v>67</v>
      </c>
      <c r="X60" s="79">
        <v>45179</v>
      </c>
      <c r="Y60" s="245" t="s">
        <v>323</v>
      </c>
      <c r="Z60" s="82" t="s">
        <v>43</v>
      </c>
      <c r="AA60" s="77" t="s">
        <v>107</v>
      </c>
      <c r="AB60" s="77" t="s">
        <v>107</v>
      </c>
      <c r="AC60" s="77"/>
      <c r="AD60" s="82"/>
      <c r="AE60" s="599" t="s">
        <v>324</v>
      </c>
      <c r="AF60" s="84" t="s">
        <v>325</v>
      </c>
      <c r="AG60" s="77"/>
      <c r="AH60" s="14"/>
      <c r="AI60" s="55"/>
      <c r="AJ60" s="55"/>
      <c r="AK60" s="55"/>
      <c r="AL60" s="55"/>
      <c r="AM60" s="55"/>
      <c r="AN60" s="55"/>
      <c r="AO60" s="55"/>
      <c r="AP60" s="55"/>
      <c r="AQ60" s="52"/>
    </row>
    <row r="61" spans="1:43" ht="15" customHeight="1" x14ac:dyDescent="0.25">
      <c r="A61" s="242">
        <v>59</v>
      </c>
      <c r="B61" s="78" t="s">
        <v>56</v>
      </c>
      <c r="C61" s="77">
        <v>2</v>
      </c>
      <c r="D61" s="79">
        <v>45181</v>
      </c>
      <c r="E61" s="77" t="s">
        <v>57</v>
      </c>
      <c r="F61" s="77">
        <v>200814</v>
      </c>
      <c r="G61" s="77" t="s">
        <v>43</v>
      </c>
      <c r="H61" s="77" t="s">
        <v>52</v>
      </c>
      <c r="I61" s="526">
        <v>0.1</v>
      </c>
      <c r="J61" s="526">
        <v>0.1</v>
      </c>
      <c r="K61" s="526"/>
      <c r="L61" s="526"/>
      <c r="M61" s="80"/>
      <c r="N61" s="526"/>
      <c r="O61" s="526"/>
      <c r="P61" s="80"/>
      <c r="Q61" s="526"/>
      <c r="R61" s="80"/>
      <c r="S61" s="526"/>
      <c r="T61" s="119" t="str">
        <f t="shared" si="9"/>
        <v>A</v>
      </c>
      <c r="U61" s="77" t="s">
        <v>43</v>
      </c>
      <c r="V61" s="77" t="s">
        <v>47</v>
      </c>
      <c r="W61" s="77" t="s">
        <v>67</v>
      </c>
      <c r="X61" s="79">
        <v>45209</v>
      </c>
      <c r="Y61" s="245" t="s">
        <v>59</v>
      </c>
      <c r="Z61" s="82" t="s">
        <v>43</v>
      </c>
      <c r="AA61" s="77" t="s">
        <v>107</v>
      </c>
      <c r="AB61" s="77" t="s">
        <v>107</v>
      </c>
      <c r="AC61" s="77"/>
      <c r="AD61" s="82"/>
      <c r="AE61" s="599" t="s">
        <v>326</v>
      </c>
      <c r="AF61" s="84" t="s">
        <v>327</v>
      </c>
      <c r="AG61" s="77"/>
      <c r="AH61" s="14"/>
      <c r="AI61" s="55"/>
      <c r="AJ61" s="55"/>
      <c r="AK61" s="55"/>
      <c r="AL61" s="55"/>
      <c r="AM61" s="55"/>
      <c r="AN61" s="55"/>
      <c r="AO61" s="55"/>
      <c r="AP61" s="55"/>
      <c r="AQ61" s="55"/>
    </row>
    <row r="62" spans="1:43" ht="15" customHeight="1" x14ac:dyDescent="0.25">
      <c r="A62" s="244">
        <v>60</v>
      </c>
      <c r="B62" s="78" t="s">
        <v>41</v>
      </c>
      <c r="C62" s="77">
        <v>19</v>
      </c>
      <c r="D62" s="79">
        <v>45181</v>
      </c>
      <c r="E62" s="77" t="s">
        <v>60</v>
      </c>
      <c r="F62" s="77">
        <v>200810</v>
      </c>
      <c r="G62" s="77" t="s">
        <v>43</v>
      </c>
      <c r="H62" s="77" t="s">
        <v>52</v>
      </c>
      <c r="I62" s="526">
        <v>2.81</v>
      </c>
      <c r="J62" s="526">
        <v>2.81</v>
      </c>
      <c r="K62" s="526"/>
      <c r="L62" s="526"/>
      <c r="M62" s="80"/>
      <c r="N62" s="526"/>
      <c r="O62" s="526"/>
      <c r="P62" s="80"/>
      <c r="Q62" s="526"/>
      <c r="R62" s="80"/>
      <c r="S62" s="526"/>
      <c r="T62" s="119" t="str">
        <f t="shared" si="9"/>
        <v>B</v>
      </c>
      <c r="U62" s="77" t="s">
        <v>43</v>
      </c>
      <c r="V62" s="77" t="s">
        <v>54</v>
      </c>
      <c r="W62" s="77" t="s">
        <v>67</v>
      </c>
      <c r="X62" s="79">
        <v>45224</v>
      </c>
      <c r="Y62" s="245" t="s">
        <v>61</v>
      </c>
      <c r="Z62" s="82" t="s">
        <v>43</v>
      </c>
      <c r="AA62" s="77" t="s">
        <v>107</v>
      </c>
      <c r="AB62" s="77" t="s">
        <v>107</v>
      </c>
      <c r="AC62" s="77"/>
      <c r="AD62" s="82"/>
      <c r="AE62" s="599" t="s">
        <v>328</v>
      </c>
      <c r="AF62" s="84"/>
      <c r="AG62" s="77"/>
      <c r="AH62" s="14"/>
      <c r="AI62" s="55"/>
      <c r="AJ62" s="55"/>
      <c r="AK62" s="55"/>
      <c r="AL62" s="55"/>
      <c r="AM62" s="55"/>
      <c r="AN62" s="55"/>
      <c r="AO62" s="55"/>
      <c r="AP62" s="55"/>
      <c r="AQ62" s="55"/>
    </row>
    <row r="63" spans="1:43" ht="15" customHeight="1" x14ac:dyDescent="0.25">
      <c r="A63" s="242">
        <v>61</v>
      </c>
      <c r="B63" s="78" t="s">
        <v>50</v>
      </c>
      <c r="C63" s="77">
        <v>13</v>
      </c>
      <c r="D63" s="79">
        <v>45181</v>
      </c>
      <c r="E63" s="77" t="s">
        <v>329</v>
      </c>
      <c r="F63" s="77">
        <v>200817</v>
      </c>
      <c r="G63" s="77" t="s">
        <v>43</v>
      </c>
      <c r="H63" s="77" t="s">
        <v>220</v>
      </c>
      <c r="I63" s="526">
        <v>0.1</v>
      </c>
      <c r="J63" s="526"/>
      <c r="K63" s="526"/>
      <c r="L63" s="526"/>
      <c r="M63" s="80" t="s">
        <v>220</v>
      </c>
      <c r="N63" s="526">
        <v>0.1</v>
      </c>
      <c r="O63" s="526"/>
      <c r="P63" s="80"/>
      <c r="Q63" s="526"/>
      <c r="R63" s="80"/>
      <c r="S63" s="526"/>
      <c r="T63" s="119" t="str">
        <f t="shared" si="9"/>
        <v>A</v>
      </c>
      <c r="U63" s="77" t="s">
        <v>43</v>
      </c>
      <c r="V63" s="77" t="s">
        <v>47</v>
      </c>
      <c r="W63" s="77" t="s">
        <v>67</v>
      </c>
      <c r="X63" s="79">
        <v>45181</v>
      </c>
      <c r="Y63" s="245" t="s">
        <v>330</v>
      </c>
      <c r="Z63" s="82" t="s">
        <v>43</v>
      </c>
      <c r="AA63" s="77" t="s">
        <v>107</v>
      </c>
      <c r="AB63" s="77" t="s">
        <v>107</v>
      </c>
      <c r="AC63" s="77"/>
      <c r="AD63" s="82"/>
      <c r="AE63" s="599" t="s">
        <v>331</v>
      </c>
      <c r="AF63" s="81" t="s">
        <v>312</v>
      </c>
      <c r="AG63" s="77"/>
      <c r="AH63" s="14"/>
      <c r="AI63" s="55"/>
      <c r="AJ63" s="55"/>
      <c r="AK63" s="55"/>
      <c r="AL63" s="55"/>
      <c r="AM63" s="55"/>
      <c r="AN63" s="55"/>
      <c r="AO63" s="55"/>
      <c r="AP63" s="55"/>
      <c r="AQ63" s="55"/>
    </row>
    <row r="64" spans="1:43" ht="15" customHeight="1" x14ac:dyDescent="0.25">
      <c r="A64" s="244">
        <v>62</v>
      </c>
      <c r="B64" s="78" t="s">
        <v>41</v>
      </c>
      <c r="C64" s="77">
        <v>20</v>
      </c>
      <c r="D64" s="79">
        <v>45186</v>
      </c>
      <c r="E64" s="77" t="s">
        <v>62</v>
      </c>
      <c r="F64" s="77">
        <v>200823</v>
      </c>
      <c r="G64" s="77" t="s">
        <v>43</v>
      </c>
      <c r="H64" s="77" t="s">
        <v>52</v>
      </c>
      <c r="I64" s="526">
        <v>22</v>
      </c>
      <c r="J64" s="526">
        <v>22</v>
      </c>
      <c r="K64" s="526"/>
      <c r="L64" s="526"/>
      <c r="M64" s="80"/>
      <c r="N64" s="526"/>
      <c r="O64" s="526"/>
      <c r="P64" s="80"/>
      <c r="Q64" s="526"/>
      <c r="R64" s="80"/>
      <c r="S64" s="526"/>
      <c r="T64" s="119" t="str">
        <f t="shared" si="9"/>
        <v>C</v>
      </c>
      <c r="U64" s="77" t="s">
        <v>43</v>
      </c>
      <c r="V64" s="77" t="s">
        <v>47</v>
      </c>
      <c r="W64" s="77" t="s">
        <v>67</v>
      </c>
      <c r="X64" s="79">
        <v>45224</v>
      </c>
      <c r="Y64" s="245" t="s">
        <v>64</v>
      </c>
      <c r="Z64" s="82" t="s">
        <v>43</v>
      </c>
      <c r="AA64" s="77" t="s">
        <v>107</v>
      </c>
      <c r="AB64" s="77" t="s">
        <v>107</v>
      </c>
      <c r="AC64" s="77"/>
      <c r="AD64" s="82"/>
      <c r="AE64" s="599" t="s">
        <v>332</v>
      </c>
      <c r="AF64" s="81"/>
      <c r="AG64" s="77"/>
      <c r="AH64" s="14"/>
      <c r="AI64" s="55"/>
      <c r="AJ64" s="55"/>
      <c r="AK64" s="55"/>
      <c r="AL64" s="55"/>
      <c r="AM64" s="55"/>
      <c r="AN64" s="55"/>
      <c r="AO64" s="55"/>
      <c r="AP64" s="55"/>
      <c r="AQ64" s="55"/>
    </row>
    <row r="65" spans="1:43" ht="15" customHeight="1" x14ac:dyDescent="0.25">
      <c r="A65" s="242">
        <v>63</v>
      </c>
      <c r="B65" s="78" t="s">
        <v>50</v>
      </c>
      <c r="C65" s="77">
        <v>14</v>
      </c>
      <c r="D65" s="79">
        <v>45186</v>
      </c>
      <c r="E65" s="77" t="s">
        <v>333</v>
      </c>
      <c r="F65" s="77">
        <v>200824</v>
      </c>
      <c r="G65" s="77" t="s">
        <v>43</v>
      </c>
      <c r="H65" s="77" t="s">
        <v>52</v>
      </c>
      <c r="I65" s="526">
        <v>0.5</v>
      </c>
      <c r="J65" s="526">
        <v>0.5</v>
      </c>
      <c r="K65" s="526"/>
      <c r="L65" s="526"/>
      <c r="M65" s="80"/>
      <c r="N65" s="526"/>
      <c r="O65" s="526"/>
      <c r="P65" s="80"/>
      <c r="Q65" s="526"/>
      <c r="R65" s="80"/>
      <c r="S65" s="526"/>
      <c r="T65" s="119" t="str">
        <f t="shared" si="9"/>
        <v>B</v>
      </c>
      <c r="U65" s="77" t="s">
        <v>43</v>
      </c>
      <c r="V65" s="77" t="s">
        <v>47</v>
      </c>
      <c r="W65" s="77" t="s">
        <v>67</v>
      </c>
      <c r="X65" s="79">
        <v>45195</v>
      </c>
      <c r="Y65" s="245" t="s">
        <v>334</v>
      </c>
      <c r="Z65" s="82" t="s">
        <v>43</v>
      </c>
      <c r="AA65" s="77" t="s">
        <v>107</v>
      </c>
      <c r="AB65" s="85" t="s">
        <v>107</v>
      </c>
      <c r="AC65" s="77"/>
      <c r="AD65" s="82"/>
      <c r="AE65" s="599" t="s">
        <v>335</v>
      </c>
      <c r="AF65" s="84" t="s">
        <v>336</v>
      </c>
      <c r="AG65" s="77"/>
      <c r="AH65" s="14"/>
      <c r="AI65" s="55"/>
      <c r="AJ65" s="55"/>
      <c r="AK65" s="55"/>
      <c r="AL65" s="55"/>
      <c r="AM65" s="55"/>
      <c r="AN65" s="55"/>
      <c r="AO65" s="55"/>
      <c r="AP65" s="55"/>
      <c r="AQ65" s="55"/>
    </row>
    <row r="66" spans="1:43" ht="15" customHeight="1" x14ac:dyDescent="0.25">
      <c r="A66" s="244">
        <v>64</v>
      </c>
      <c r="B66" s="78" t="s">
        <v>41</v>
      </c>
      <c r="C66" s="77">
        <v>21</v>
      </c>
      <c r="D66" s="79">
        <v>45187</v>
      </c>
      <c r="E66" s="77" t="s">
        <v>337</v>
      </c>
      <c r="F66" s="77">
        <v>200825</v>
      </c>
      <c r="G66" s="77" t="s">
        <v>43</v>
      </c>
      <c r="H66" s="77" t="s">
        <v>44</v>
      </c>
      <c r="I66" s="526">
        <v>0.1</v>
      </c>
      <c r="J66" s="526"/>
      <c r="K66" s="526"/>
      <c r="L66" s="526"/>
      <c r="M66" s="80" t="s">
        <v>44</v>
      </c>
      <c r="N66" s="526">
        <v>0.1</v>
      </c>
      <c r="O66" s="526"/>
      <c r="P66" s="80"/>
      <c r="Q66" s="526"/>
      <c r="R66" s="80"/>
      <c r="S66" s="526"/>
      <c r="T66" s="119" t="str">
        <f t="shared" si="9"/>
        <v>A</v>
      </c>
      <c r="U66" s="77" t="s">
        <v>43</v>
      </c>
      <c r="V66" s="77" t="s">
        <v>47</v>
      </c>
      <c r="W66" s="77" t="s">
        <v>67</v>
      </c>
      <c r="X66" s="79">
        <v>45187</v>
      </c>
      <c r="Y66" s="245" t="s">
        <v>338</v>
      </c>
      <c r="Z66" s="82" t="s">
        <v>339</v>
      </c>
      <c r="AA66" s="77" t="s">
        <v>107</v>
      </c>
      <c r="AB66" s="77" t="s">
        <v>107</v>
      </c>
      <c r="AC66" s="77"/>
      <c r="AD66" s="82"/>
      <c r="AE66" s="599" t="s">
        <v>335</v>
      </c>
      <c r="AF66" s="84" t="s">
        <v>340</v>
      </c>
      <c r="AG66" s="77"/>
      <c r="AH66" s="14"/>
      <c r="AI66" s="55"/>
      <c r="AJ66" s="55"/>
      <c r="AK66" s="55"/>
      <c r="AL66" s="55"/>
      <c r="AM66" s="55"/>
      <c r="AN66" s="55"/>
      <c r="AO66" s="55"/>
      <c r="AP66" s="55"/>
      <c r="AQ66" s="55"/>
    </row>
    <row r="67" spans="1:43" ht="15" customHeight="1" x14ac:dyDescent="0.25">
      <c r="A67" s="242">
        <v>65</v>
      </c>
      <c r="B67" s="78" t="s">
        <v>41</v>
      </c>
      <c r="C67" s="77">
        <v>22</v>
      </c>
      <c r="D67" s="79">
        <v>45187</v>
      </c>
      <c r="E67" s="77" t="s">
        <v>341</v>
      </c>
      <c r="F67" s="77">
        <v>200829</v>
      </c>
      <c r="G67" s="77" t="s">
        <v>43</v>
      </c>
      <c r="H67" s="77" t="s">
        <v>52</v>
      </c>
      <c r="I67" s="526">
        <v>1</v>
      </c>
      <c r="J67" s="526">
        <v>1</v>
      </c>
      <c r="K67" s="526"/>
      <c r="L67" s="526"/>
      <c r="M67" s="80"/>
      <c r="N67" s="526"/>
      <c r="O67" s="526"/>
      <c r="P67" s="80"/>
      <c r="Q67" s="526"/>
      <c r="R67" s="80"/>
      <c r="S67" s="526"/>
      <c r="T67" s="119" t="str">
        <f t="shared" si="9"/>
        <v>B</v>
      </c>
      <c r="U67" s="77" t="s">
        <v>43</v>
      </c>
      <c r="V67" s="77" t="s">
        <v>47</v>
      </c>
      <c r="W67" s="77" t="s">
        <v>67</v>
      </c>
      <c r="X67" s="79">
        <v>45188</v>
      </c>
      <c r="Y67" s="245" t="s">
        <v>342</v>
      </c>
      <c r="Z67" s="82" t="s">
        <v>43</v>
      </c>
      <c r="AA67" s="77" t="s">
        <v>107</v>
      </c>
      <c r="AB67" s="85" t="s">
        <v>107</v>
      </c>
      <c r="AC67" s="77"/>
      <c r="AD67" s="82"/>
      <c r="AE67" s="599" t="s">
        <v>343</v>
      </c>
      <c r="AF67" s="84"/>
      <c r="AG67" s="77"/>
      <c r="AH67" s="14"/>
      <c r="AI67" s="55"/>
      <c r="AJ67" s="55"/>
      <c r="AK67" s="55"/>
      <c r="AL67" s="55"/>
      <c r="AM67" s="55"/>
      <c r="AN67" s="55"/>
      <c r="AO67" s="55"/>
      <c r="AP67" s="55"/>
      <c r="AQ67" s="55"/>
    </row>
    <row r="68" spans="1:43" ht="15" customHeight="1" x14ac:dyDescent="0.25">
      <c r="A68" s="244">
        <v>66</v>
      </c>
      <c r="B68" s="78" t="s">
        <v>65</v>
      </c>
      <c r="C68" s="77">
        <v>4</v>
      </c>
      <c r="D68" s="79">
        <v>45194</v>
      </c>
      <c r="E68" s="77">
        <v>365</v>
      </c>
      <c r="F68" s="77">
        <v>200846</v>
      </c>
      <c r="G68" s="77" t="s">
        <v>43</v>
      </c>
      <c r="H68" s="77" t="s">
        <v>52</v>
      </c>
      <c r="I68" s="526">
        <v>0.1</v>
      </c>
      <c r="J68" s="526">
        <v>0.1</v>
      </c>
      <c r="K68" s="526"/>
      <c r="L68" s="526"/>
      <c r="M68" s="80"/>
      <c r="N68" s="526"/>
      <c r="O68" s="526"/>
      <c r="P68" s="80"/>
      <c r="Q68" s="526"/>
      <c r="R68" s="80"/>
      <c r="S68" s="526"/>
      <c r="T68" s="119" t="str">
        <f t="shared" si="9"/>
        <v>A</v>
      </c>
      <c r="U68" s="77" t="s">
        <v>43</v>
      </c>
      <c r="V68" s="77" t="s">
        <v>47</v>
      </c>
      <c r="W68" s="77" t="s">
        <v>67</v>
      </c>
      <c r="X68" s="79">
        <v>45195</v>
      </c>
      <c r="Y68" s="245" t="s">
        <v>68</v>
      </c>
      <c r="Z68" s="82" t="s">
        <v>339</v>
      </c>
      <c r="AA68" s="77" t="s">
        <v>107</v>
      </c>
      <c r="AB68" s="77" t="s">
        <v>107</v>
      </c>
      <c r="AC68" s="77"/>
      <c r="AD68" s="82"/>
      <c r="AE68" s="599" t="s">
        <v>344</v>
      </c>
      <c r="AF68" s="84" t="s">
        <v>345</v>
      </c>
      <c r="AG68" s="77"/>
      <c r="AH68" s="14"/>
      <c r="AM68" s="55"/>
      <c r="AN68" s="55"/>
      <c r="AO68" s="55"/>
      <c r="AP68" s="55"/>
      <c r="AQ68" s="55"/>
    </row>
    <row r="69" spans="1:43" ht="15" customHeight="1" x14ac:dyDescent="0.25">
      <c r="A69" s="242">
        <v>67</v>
      </c>
      <c r="B69" s="78" t="s">
        <v>143</v>
      </c>
      <c r="C69" s="77">
        <v>25</v>
      </c>
      <c r="D69" s="79">
        <v>45203</v>
      </c>
      <c r="E69" s="77" t="s">
        <v>346</v>
      </c>
      <c r="F69" s="77">
        <v>200864</v>
      </c>
      <c r="G69" s="77" t="s">
        <v>43</v>
      </c>
      <c r="H69" s="77" t="s">
        <v>163</v>
      </c>
      <c r="I69" s="526">
        <v>0.1</v>
      </c>
      <c r="J69" s="526"/>
      <c r="K69" s="526"/>
      <c r="L69" s="526"/>
      <c r="M69" s="80" t="s">
        <v>163</v>
      </c>
      <c r="N69" s="526">
        <v>0.1</v>
      </c>
      <c r="O69" s="526"/>
      <c r="P69" s="80"/>
      <c r="Q69" s="526"/>
      <c r="R69" s="80"/>
      <c r="S69" s="526"/>
      <c r="T69" s="119" t="str">
        <f t="shared" si="9"/>
        <v>A</v>
      </c>
      <c r="U69" s="77" t="s">
        <v>43</v>
      </c>
      <c r="V69" s="77" t="s">
        <v>47</v>
      </c>
      <c r="W69" s="77" t="s">
        <v>67</v>
      </c>
      <c r="X69" s="79">
        <v>45204</v>
      </c>
      <c r="Y69" s="245" t="s">
        <v>347</v>
      </c>
      <c r="Z69" s="82" t="s">
        <v>43</v>
      </c>
      <c r="AA69" s="77" t="s">
        <v>107</v>
      </c>
      <c r="AB69" s="77" t="s">
        <v>107</v>
      </c>
      <c r="AC69" s="77"/>
      <c r="AD69" s="82"/>
      <c r="AE69" s="599" t="s">
        <v>324</v>
      </c>
      <c r="AF69" s="84" t="s">
        <v>327</v>
      </c>
      <c r="AG69" s="77"/>
      <c r="AH69" s="14"/>
      <c r="AO69" s="55"/>
      <c r="AP69" s="55"/>
      <c r="AQ69" s="55"/>
    </row>
    <row r="70" spans="1:43" ht="15" customHeight="1" x14ac:dyDescent="0.25">
      <c r="A70" s="244">
        <v>68</v>
      </c>
      <c r="B70" s="78" t="s">
        <v>65</v>
      </c>
      <c r="C70" s="77">
        <v>5</v>
      </c>
      <c r="D70" s="79">
        <v>45215</v>
      </c>
      <c r="E70" s="77" t="s">
        <v>348</v>
      </c>
      <c r="F70" s="77">
        <v>200900</v>
      </c>
      <c r="G70" s="77" t="s">
        <v>43</v>
      </c>
      <c r="H70" s="77" t="s">
        <v>52</v>
      </c>
      <c r="I70" s="526">
        <v>0.1</v>
      </c>
      <c r="J70" s="526">
        <v>0.1</v>
      </c>
      <c r="K70" s="526"/>
      <c r="L70" s="526"/>
      <c r="M70" s="80"/>
      <c r="N70" s="526"/>
      <c r="O70" s="526"/>
      <c r="P70" s="80"/>
      <c r="Q70" s="526"/>
      <c r="R70" s="80"/>
      <c r="S70" s="526"/>
      <c r="T70" s="119" t="s">
        <v>66</v>
      </c>
      <c r="U70" s="77" t="s">
        <v>43</v>
      </c>
      <c r="V70" s="77" t="s">
        <v>47</v>
      </c>
      <c r="W70" s="77" t="s">
        <v>67</v>
      </c>
      <c r="X70" s="79">
        <v>45216</v>
      </c>
      <c r="Y70" s="245" t="s">
        <v>349</v>
      </c>
      <c r="Z70" s="82" t="s">
        <v>339</v>
      </c>
      <c r="AA70" s="77" t="s">
        <v>107</v>
      </c>
      <c r="AB70" s="77" t="s">
        <v>107</v>
      </c>
      <c r="AC70" s="77"/>
      <c r="AD70" s="82"/>
      <c r="AE70" s="599"/>
      <c r="AF70" s="84" t="s">
        <v>274</v>
      </c>
      <c r="AG70" s="77"/>
      <c r="AH70" s="14"/>
      <c r="AO70" s="55"/>
      <c r="AP70" s="55"/>
      <c r="AQ70" s="55"/>
    </row>
    <row r="71" spans="1:43" ht="15" customHeight="1" x14ac:dyDescent="0.25">
      <c r="A71" s="242">
        <v>69</v>
      </c>
      <c r="B71" s="78" t="s">
        <v>50</v>
      </c>
      <c r="C71" s="77">
        <v>15</v>
      </c>
      <c r="D71" s="79">
        <v>45215</v>
      </c>
      <c r="E71" s="77" t="s">
        <v>350</v>
      </c>
      <c r="F71" s="77">
        <v>200901</v>
      </c>
      <c r="G71" s="77" t="s">
        <v>43</v>
      </c>
      <c r="H71" s="77" t="s">
        <v>52</v>
      </c>
      <c r="I71" s="526">
        <v>0.1</v>
      </c>
      <c r="J71" s="526">
        <v>0.1</v>
      </c>
      <c r="K71" s="526"/>
      <c r="L71" s="526"/>
      <c r="M71" s="80"/>
      <c r="N71" s="526"/>
      <c r="O71" s="526"/>
      <c r="P71" s="80"/>
      <c r="Q71" s="526"/>
      <c r="R71" s="80"/>
      <c r="S71" s="526"/>
      <c r="T71" s="119" t="str">
        <f t="shared" si="9"/>
        <v>A</v>
      </c>
      <c r="U71" s="77" t="s">
        <v>43</v>
      </c>
      <c r="V71" s="77" t="s">
        <v>47</v>
      </c>
      <c r="W71" s="77" t="s">
        <v>67</v>
      </c>
      <c r="X71" s="79">
        <v>45215</v>
      </c>
      <c r="Y71" s="245" t="s">
        <v>351</v>
      </c>
      <c r="Z71" s="82" t="s">
        <v>339</v>
      </c>
      <c r="AA71" s="77" t="s">
        <v>107</v>
      </c>
      <c r="AB71" s="77" t="s">
        <v>107</v>
      </c>
      <c r="AC71" s="77"/>
      <c r="AD71" s="82"/>
      <c r="AE71" s="599"/>
      <c r="AF71" s="84" t="s">
        <v>352</v>
      </c>
      <c r="AG71" s="77"/>
      <c r="AH71" s="14"/>
      <c r="AO71" s="55"/>
      <c r="AP71" s="55"/>
      <c r="AQ71" s="55"/>
    </row>
    <row r="72" spans="1:43" ht="15" customHeight="1" x14ac:dyDescent="0.25">
      <c r="A72" s="244">
        <v>70</v>
      </c>
      <c r="B72" s="78" t="s">
        <v>143</v>
      </c>
      <c r="C72" s="77">
        <v>26</v>
      </c>
      <c r="D72" s="79">
        <v>45216</v>
      </c>
      <c r="E72" s="77" t="s">
        <v>353</v>
      </c>
      <c r="F72" s="77">
        <v>200904</v>
      </c>
      <c r="G72" s="77" t="s">
        <v>43</v>
      </c>
      <c r="H72" s="77" t="s">
        <v>52</v>
      </c>
      <c r="I72" s="526">
        <v>0.1</v>
      </c>
      <c r="J72" s="526">
        <v>0.1</v>
      </c>
      <c r="K72" s="526"/>
      <c r="L72" s="526"/>
      <c r="M72" s="80"/>
      <c r="N72" s="526"/>
      <c r="O72" s="526"/>
      <c r="P72" s="80"/>
      <c r="Q72" s="526"/>
      <c r="R72" s="80"/>
      <c r="S72" s="526"/>
      <c r="T72" s="119" t="str">
        <f t="shared" si="9"/>
        <v>A</v>
      </c>
      <c r="U72" s="77" t="s">
        <v>43</v>
      </c>
      <c r="V72" s="77" t="s">
        <v>47</v>
      </c>
      <c r="W72" s="77" t="s">
        <v>67</v>
      </c>
      <c r="X72" s="79">
        <v>45225</v>
      </c>
      <c r="Y72" s="245" t="s">
        <v>354</v>
      </c>
      <c r="Z72" s="82" t="s">
        <v>339</v>
      </c>
      <c r="AA72" s="77" t="s">
        <v>107</v>
      </c>
      <c r="AB72" s="77" t="s">
        <v>107</v>
      </c>
      <c r="AC72" s="77"/>
      <c r="AD72" s="82"/>
      <c r="AE72" s="599" t="s">
        <v>324</v>
      </c>
      <c r="AF72" s="84" t="s">
        <v>355</v>
      </c>
      <c r="AG72" s="77"/>
      <c r="AH72" s="14"/>
      <c r="AO72" s="55"/>
      <c r="AP72" s="55"/>
      <c r="AQ72" s="55"/>
    </row>
    <row r="73" spans="1:43" ht="15" customHeight="1" x14ac:dyDescent="0.25">
      <c r="A73" s="242">
        <v>71</v>
      </c>
      <c r="B73" s="78"/>
      <c r="C73" s="77"/>
      <c r="D73" s="79"/>
      <c r="E73" s="77"/>
      <c r="F73" s="77"/>
      <c r="G73" s="77"/>
      <c r="H73" s="77"/>
      <c r="I73" s="526"/>
      <c r="J73" s="526"/>
      <c r="K73" s="526"/>
      <c r="L73" s="526"/>
      <c r="M73" s="80"/>
      <c r="N73" s="526"/>
      <c r="O73" s="526"/>
      <c r="P73" s="80"/>
      <c r="Q73" s="526"/>
      <c r="R73" s="80"/>
      <c r="S73" s="526"/>
      <c r="T73" s="119" t="str">
        <f t="shared" si="9"/>
        <v xml:space="preserve"> </v>
      </c>
      <c r="U73" s="77"/>
      <c r="V73" s="77"/>
      <c r="W73" s="77"/>
      <c r="X73" s="79"/>
      <c r="Y73" s="245"/>
      <c r="Z73" s="82"/>
      <c r="AA73" s="77"/>
      <c r="AB73" s="77"/>
      <c r="AC73" s="77"/>
      <c r="AD73" s="82"/>
      <c r="AE73" s="599"/>
      <c r="AF73" s="84"/>
      <c r="AG73" s="77"/>
      <c r="AH73" s="14"/>
      <c r="AQ73" s="55"/>
    </row>
    <row r="74" spans="1:43" ht="15" customHeight="1" x14ac:dyDescent="0.25">
      <c r="A74" s="244">
        <v>72</v>
      </c>
      <c r="B74" s="78"/>
      <c r="C74" s="77"/>
      <c r="D74" s="79"/>
      <c r="E74" s="77"/>
      <c r="F74" s="77"/>
      <c r="G74" s="77"/>
      <c r="H74" s="77"/>
      <c r="I74" s="526"/>
      <c r="J74" s="526"/>
      <c r="K74" s="526"/>
      <c r="L74" s="526"/>
      <c r="M74" s="80"/>
      <c r="N74" s="526"/>
      <c r="O74" s="526"/>
      <c r="P74" s="80"/>
      <c r="Q74" s="526"/>
      <c r="R74" s="80"/>
      <c r="S74" s="526"/>
      <c r="T74" s="119" t="str">
        <f t="shared" si="9"/>
        <v xml:space="preserve"> </v>
      </c>
      <c r="U74" s="77"/>
      <c r="V74" s="77"/>
      <c r="W74" s="77"/>
      <c r="X74" s="79"/>
      <c r="Y74" s="245"/>
      <c r="Z74" s="82"/>
      <c r="AA74" s="77"/>
      <c r="AB74" s="77"/>
      <c r="AC74" s="77"/>
      <c r="AD74" s="82"/>
      <c r="AE74" s="599"/>
      <c r="AF74" s="84"/>
      <c r="AG74" s="77"/>
      <c r="AH74" s="14"/>
      <c r="AQ74" s="55"/>
    </row>
    <row r="75" spans="1:43" ht="15" customHeight="1" x14ac:dyDescent="0.25">
      <c r="A75" s="242">
        <v>73</v>
      </c>
      <c r="B75" s="78"/>
      <c r="C75" s="77"/>
      <c r="D75" s="79"/>
      <c r="E75" s="77"/>
      <c r="F75" s="77"/>
      <c r="G75" s="77"/>
      <c r="H75" s="77"/>
      <c r="I75" s="526"/>
      <c r="J75" s="526"/>
      <c r="K75" s="526"/>
      <c r="L75" s="526"/>
      <c r="M75" s="80"/>
      <c r="N75" s="526"/>
      <c r="O75" s="526"/>
      <c r="P75" s="80"/>
      <c r="Q75" s="526"/>
      <c r="R75" s="80"/>
      <c r="S75" s="526"/>
      <c r="T75" s="119" t="str">
        <f t="shared" si="9"/>
        <v xml:space="preserve"> </v>
      </c>
      <c r="U75" s="77"/>
      <c r="V75" s="77"/>
      <c r="W75" s="77"/>
      <c r="X75" s="79"/>
      <c r="Y75" s="245"/>
      <c r="Z75" s="82"/>
      <c r="AA75" s="77"/>
      <c r="AB75" s="77"/>
      <c r="AC75" s="77"/>
      <c r="AD75" s="82"/>
      <c r="AE75" s="599"/>
      <c r="AF75" s="84"/>
      <c r="AG75" s="77"/>
      <c r="AH75" s="14"/>
      <c r="AQ75" s="55"/>
    </row>
    <row r="76" spans="1:43" ht="15" customHeight="1" x14ac:dyDescent="0.25">
      <c r="A76" s="244">
        <v>74</v>
      </c>
      <c r="B76" s="78"/>
      <c r="C76" s="77"/>
      <c r="D76" s="79"/>
      <c r="E76" s="77"/>
      <c r="F76" s="77"/>
      <c r="G76" s="77"/>
      <c r="H76" s="77"/>
      <c r="I76" s="526"/>
      <c r="J76" s="526"/>
      <c r="K76" s="526"/>
      <c r="L76" s="526"/>
      <c r="M76" s="80"/>
      <c r="N76" s="526"/>
      <c r="O76" s="526"/>
      <c r="P76" s="80"/>
      <c r="Q76" s="526"/>
      <c r="R76" s="80"/>
      <c r="S76" s="526"/>
      <c r="T76" s="119" t="str">
        <f t="shared" si="9"/>
        <v xml:space="preserve"> </v>
      </c>
      <c r="U76" s="77"/>
      <c r="V76" s="77"/>
      <c r="W76" s="77"/>
      <c r="X76" s="79"/>
      <c r="Y76" s="245"/>
      <c r="Z76" s="82"/>
      <c r="AA76" s="77"/>
      <c r="AB76" s="77"/>
      <c r="AC76" s="77"/>
      <c r="AD76" s="82"/>
      <c r="AE76" s="599"/>
      <c r="AF76" s="84"/>
      <c r="AG76" s="77"/>
      <c r="AH76" s="14"/>
      <c r="AQ76" s="55"/>
    </row>
    <row r="77" spans="1:43" ht="15" customHeight="1" x14ac:dyDescent="0.25">
      <c r="A77" s="242">
        <v>75</v>
      </c>
      <c r="B77" s="78"/>
      <c r="C77" s="77"/>
      <c r="D77" s="79"/>
      <c r="E77" s="77"/>
      <c r="F77" s="77"/>
      <c r="G77" s="77"/>
      <c r="H77" s="77"/>
      <c r="I77" s="526"/>
      <c r="J77" s="526"/>
      <c r="K77" s="526"/>
      <c r="L77" s="526"/>
      <c r="M77" s="80"/>
      <c r="N77" s="526"/>
      <c r="O77" s="526"/>
      <c r="P77" s="80"/>
      <c r="Q77" s="526"/>
      <c r="R77" s="80"/>
      <c r="S77" s="526"/>
      <c r="T77" s="119" t="str">
        <f t="shared" si="9"/>
        <v xml:space="preserve"> </v>
      </c>
      <c r="U77" s="77"/>
      <c r="V77" s="77"/>
      <c r="W77" s="77"/>
      <c r="X77" s="79"/>
      <c r="Y77" s="245"/>
      <c r="Z77" s="82"/>
      <c r="AA77" s="77"/>
      <c r="AB77" s="77"/>
      <c r="AC77" s="77"/>
      <c r="AD77" s="82"/>
      <c r="AE77" s="599"/>
      <c r="AF77" s="84"/>
      <c r="AG77" s="77"/>
      <c r="AH77" s="14"/>
      <c r="AQ77" s="55"/>
    </row>
    <row r="78" spans="1:43" ht="15" customHeight="1" x14ac:dyDescent="0.25">
      <c r="A78" s="244">
        <v>76</v>
      </c>
      <c r="B78" s="78"/>
      <c r="C78" s="77"/>
      <c r="D78" s="79"/>
      <c r="E78" s="77"/>
      <c r="F78" s="77"/>
      <c r="G78" s="77"/>
      <c r="H78" s="77"/>
      <c r="I78" s="526"/>
      <c r="J78" s="526"/>
      <c r="K78" s="526"/>
      <c r="L78" s="526"/>
      <c r="M78" s="80"/>
      <c r="N78" s="526"/>
      <c r="O78" s="526"/>
      <c r="P78" s="80"/>
      <c r="Q78" s="526"/>
      <c r="R78" s="80"/>
      <c r="S78" s="526"/>
      <c r="T78" s="119" t="str">
        <f t="shared" si="9"/>
        <v xml:space="preserve"> </v>
      </c>
      <c r="U78" s="77"/>
      <c r="V78" s="77"/>
      <c r="W78" s="77"/>
      <c r="X78" s="79"/>
      <c r="Y78" s="245"/>
      <c r="Z78" s="82"/>
      <c r="AA78" s="77"/>
      <c r="AB78" s="77"/>
      <c r="AC78" s="77"/>
      <c r="AD78" s="82"/>
      <c r="AE78" s="599"/>
      <c r="AF78" s="84"/>
      <c r="AG78" s="77"/>
      <c r="AH78" s="14"/>
      <c r="AQ78" s="55"/>
    </row>
    <row r="79" spans="1:43" ht="15" customHeight="1" x14ac:dyDescent="0.25">
      <c r="A79" s="242">
        <v>77</v>
      </c>
      <c r="B79" s="78"/>
      <c r="C79" s="77"/>
      <c r="D79" s="79"/>
      <c r="E79" s="77"/>
      <c r="F79" s="77"/>
      <c r="G79" s="77"/>
      <c r="H79" s="77"/>
      <c r="I79" s="526"/>
      <c r="J79" s="526"/>
      <c r="K79" s="526"/>
      <c r="L79" s="526"/>
      <c r="M79" s="80"/>
      <c r="N79" s="526"/>
      <c r="O79" s="526"/>
      <c r="P79" s="80"/>
      <c r="Q79" s="526"/>
      <c r="R79" s="80"/>
      <c r="S79" s="526"/>
      <c r="T79" s="119" t="str">
        <f t="shared" si="9"/>
        <v xml:space="preserve"> </v>
      </c>
      <c r="U79" s="77"/>
      <c r="V79" s="77"/>
      <c r="W79" s="77"/>
      <c r="X79" s="79"/>
      <c r="Y79" s="245"/>
      <c r="Z79" s="82"/>
      <c r="AA79" s="77"/>
      <c r="AB79" s="77"/>
      <c r="AC79" s="77"/>
      <c r="AD79" s="82"/>
      <c r="AE79" s="599"/>
      <c r="AF79" s="81"/>
      <c r="AG79" s="77"/>
      <c r="AH79" s="14"/>
      <c r="AQ79" s="55"/>
    </row>
    <row r="80" spans="1:43" ht="15" customHeight="1" x14ac:dyDescent="0.25">
      <c r="A80" s="244">
        <v>78</v>
      </c>
      <c r="B80" s="78"/>
      <c r="C80" s="77"/>
      <c r="D80" s="79"/>
      <c r="E80" s="77"/>
      <c r="F80" s="77"/>
      <c r="G80" s="77"/>
      <c r="H80" s="77"/>
      <c r="I80" s="526"/>
      <c r="J80" s="526"/>
      <c r="K80" s="526"/>
      <c r="L80" s="526"/>
      <c r="M80" s="80"/>
      <c r="N80" s="526"/>
      <c r="O80" s="526"/>
      <c r="P80" s="80"/>
      <c r="Q80" s="526"/>
      <c r="R80" s="80"/>
      <c r="S80" s="526"/>
      <c r="T80" s="119" t="str">
        <f t="shared" si="9"/>
        <v xml:space="preserve"> </v>
      </c>
      <c r="U80" s="77"/>
      <c r="V80" s="77"/>
      <c r="W80" s="77"/>
      <c r="X80" s="79"/>
      <c r="Y80" s="245"/>
      <c r="Z80" s="82"/>
      <c r="AA80" s="77"/>
      <c r="AB80" s="85"/>
      <c r="AC80" s="77"/>
      <c r="AD80" s="82"/>
      <c r="AE80" s="599"/>
      <c r="AF80" s="84"/>
      <c r="AG80" s="77"/>
      <c r="AH80" s="14"/>
      <c r="AQ80" s="55"/>
    </row>
    <row r="81" spans="1:43" ht="15" customHeight="1" x14ac:dyDescent="0.25">
      <c r="A81" s="242">
        <v>79</v>
      </c>
      <c r="B81" s="78"/>
      <c r="C81" s="77"/>
      <c r="D81" s="79"/>
      <c r="E81" s="77"/>
      <c r="F81" s="77"/>
      <c r="G81" s="77"/>
      <c r="H81" s="77"/>
      <c r="I81" s="526"/>
      <c r="J81" s="526"/>
      <c r="K81" s="526"/>
      <c r="L81" s="526"/>
      <c r="M81" s="80"/>
      <c r="N81" s="526"/>
      <c r="O81" s="526"/>
      <c r="P81" s="80"/>
      <c r="Q81" s="526"/>
      <c r="R81" s="80"/>
      <c r="S81" s="526"/>
      <c r="T81" s="119" t="str">
        <f t="shared" si="9"/>
        <v xml:space="preserve"> </v>
      </c>
      <c r="U81" s="77"/>
      <c r="V81" s="77"/>
      <c r="W81" s="77"/>
      <c r="X81" s="79"/>
      <c r="Y81" s="245"/>
      <c r="Z81" s="82"/>
      <c r="AA81" s="77"/>
      <c r="AB81" s="77"/>
      <c r="AC81" s="77"/>
      <c r="AD81" s="82"/>
      <c r="AE81" s="599"/>
      <c r="AF81" s="81"/>
      <c r="AG81" s="77"/>
      <c r="AH81" s="14"/>
      <c r="AQ81" s="55"/>
    </row>
    <row r="82" spans="1:43" ht="15" customHeight="1" x14ac:dyDescent="0.25">
      <c r="A82" s="244">
        <v>80</v>
      </c>
      <c r="B82" s="78"/>
      <c r="C82" s="77"/>
      <c r="D82" s="79"/>
      <c r="E82" s="77"/>
      <c r="F82" s="77"/>
      <c r="G82" s="77"/>
      <c r="H82" s="77"/>
      <c r="I82" s="526"/>
      <c r="J82" s="526"/>
      <c r="K82" s="526"/>
      <c r="L82" s="526"/>
      <c r="M82" s="80"/>
      <c r="N82" s="526"/>
      <c r="O82" s="526"/>
      <c r="P82" s="80"/>
      <c r="Q82" s="526"/>
      <c r="R82" s="80"/>
      <c r="S82" s="526"/>
      <c r="T82" s="119" t="str">
        <f t="shared" si="9"/>
        <v xml:space="preserve"> </v>
      </c>
      <c r="U82" s="77"/>
      <c r="V82" s="77"/>
      <c r="W82" s="77"/>
      <c r="X82" s="79"/>
      <c r="Y82" s="245"/>
      <c r="Z82" s="82"/>
      <c r="AA82" s="77"/>
      <c r="AB82" s="85"/>
      <c r="AC82" s="77"/>
      <c r="AD82" s="82"/>
      <c r="AE82" s="599"/>
      <c r="AF82" s="84"/>
      <c r="AG82" s="77"/>
      <c r="AH82" s="41"/>
      <c r="AQ82" s="55"/>
    </row>
    <row r="83" spans="1:43" ht="15" customHeight="1" x14ac:dyDescent="0.25">
      <c r="A83" s="242">
        <v>81</v>
      </c>
      <c r="B83" s="78"/>
      <c r="C83" s="77"/>
      <c r="D83" s="79"/>
      <c r="E83" s="77"/>
      <c r="F83" s="77"/>
      <c r="G83" s="77"/>
      <c r="H83" s="77"/>
      <c r="I83" s="526"/>
      <c r="J83" s="526"/>
      <c r="K83" s="526"/>
      <c r="L83" s="526"/>
      <c r="M83" s="80"/>
      <c r="N83" s="526"/>
      <c r="O83" s="526"/>
      <c r="P83" s="80"/>
      <c r="Q83" s="526"/>
      <c r="R83" s="80"/>
      <c r="S83" s="526"/>
      <c r="T83" s="119" t="str">
        <f t="shared" si="9"/>
        <v xml:space="preserve"> </v>
      </c>
      <c r="U83" s="77"/>
      <c r="V83" s="77"/>
      <c r="W83" s="77"/>
      <c r="X83" s="79"/>
      <c r="Y83" s="245"/>
      <c r="Z83" s="82"/>
      <c r="AA83" s="77"/>
      <c r="AB83" s="77"/>
      <c r="AC83" s="77"/>
      <c r="AD83" s="82"/>
      <c r="AE83" s="599"/>
      <c r="AF83" s="81"/>
      <c r="AG83" s="77"/>
      <c r="AH83" s="53"/>
    </row>
    <row r="84" spans="1:43" ht="15" customHeight="1" x14ac:dyDescent="0.25">
      <c r="A84" s="244">
        <v>82</v>
      </c>
      <c r="B84" s="78"/>
      <c r="C84" s="77"/>
      <c r="D84" s="79"/>
      <c r="E84" s="77"/>
      <c r="F84" s="77"/>
      <c r="G84" s="77"/>
      <c r="H84" s="77"/>
      <c r="I84" s="526"/>
      <c r="J84" s="526"/>
      <c r="K84" s="526"/>
      <c r="L84" s="526"/>
      <c r="M84" s="80"/>
      <c r="N84" s="526"/>
      <c r="O84" s="526"/>
      <c r="P84" s="80"/>
      <c r="Q84" s="526"/>
      <c r="R84" s="80"/>
      <c r="S84" s="526"/>
      <c r="T84" s="119" t="str">
        <f t="shared" si="9"/>
        <v xml:space="preserve"> </v>
      </c>
      <c r="U84" s="77"/>
      <c r="V84" s="77"/>
      <c r="W84" s="77"/>
      <c r="X84" s="79"/>
      <c r="Y84" s="245"/>
      <c r="Z84" s="82"/>
      <c r="AA84" s="77"/>
      <c r="AB84" s="85"/>
      <c r="AC84" s="77"/>
      <c r="AD84" s="82"/>
      <c r="AE84" s="599"/>
      <c r="AF84" s="84"/>
      <c r="AG84" s="77"/>
    </row>
    <row r="85" spans="1:43" ht="15" customHeight="1" x14ac:dyDescent="0.25">
      <c r="A85" s="242">
        <v>83</v>
      </c>
      <c r="B85" s="78"/>
      <c r="C85" s="77"/>
      <c r="D85" s="79"/>
      <c r="E85" s="77"/>
      <c r="F85" s="77"/>
      <c r="G85" s="77"/>
      <c r="H85" s="77"/>
      <c r="I85" s="526"/>
      <c r="J85" s="526"/>
      <c r="K85" s="526"/>
      <c r="L85" s="526"/>
      <c r="M85" s="80"/>
      <c r="N85" s="526"/>
      <c r="O85" s="526"/>
      <c r="P85" s="80"/>
      <c r="Q85" s="526"/>
      <c r="R85" s="80"/>
      <c r="S85" s="526"/>
      <c r="T85" s="119" t="str">
        <f t="shared" si="9"/>
        <v xml:space="preserve"> </v>
      </c>
      <c r="U85" s="77"/>
      <c r="V85" s="77"/>
      <c r="W85" s="77"/>
      <c r="X85" s="79"/>
      <c r="Y85" s="245"/>
      <c r="Z85" s="82"/>
      <c r="AA85" s="77"/>
      <c r="AB85" s="77"/>
      <c r="AC85" s="77"/>
      <c r="AD85" s="82"/>
      <c r="AE85" s="599"/>
      <c r="AF85" s="81"/>
      <c r="AG85" s="77"/>
    </row>
    <row r="86" spans="1:43" ht="15" customHeight="1" x14ac:dyDescent="0.25">
      <c r="A86" s="244">
        <v>84</v>
      </c>
      <c r="B86" s="78"/>
      <c r="C86" s="77"/>
      <c r="D86" s="79"/>
      <c r="E86" s="77"/>
      <c r="F86" s="77"/>
      <c r="G86" s="77"/>
      <c r="H86" s="77"/>
      <c r="I86" s="526"/>
      <c r="J86" s="526"/>
      <c r="K86" s="526"/>
      <c r="L86" s="526"/>
      <c r="M86" s="80"/>
      <c r="N86" s="526"/>
      <c r="O86" s="526"/>
      <c r="P86" s="80"/>
      <c r="Q86" s="526"/>
      <c r="R86" s="80"/>
      <c r="S86" s="526"/>
      <c r="T86" s="119" t="str">
        <f t="shared" si="9"/>
        <v xml:space="preserve"> </v>
      </c>
      <c r="U86" s="77"/>
      <c r="V86" s="77"/>
      <c r="W86" s="77"/>
      <c r="X86" s="79"/>
      <c r="Y86" s="245"/>
      <c r="Z86" s="82"/>
      <c r="AA86" s="77"/>
      <c r="AB86" s="85"/>
      <c r="AC86" s="77"/>
      <c r="AD86" s="82"/>
      <c r="AE86" s="599"/>
      <c r="AF86" s="84"/>
      <c r="AG86" s="77"/>
    </row>
    <row r="87" spans="1:43" ht="15" customHeight="1" x14ac:dyDescent="0.25">
      <c r="A87" s="242">
        <v>85</v>
      </c>
      <c r="B87" s="78"/>
      <c r="C87" s="77"/>
      <c r="D87" s="79"/>
      <c r="E87" s="77"/>
      <c r="F87" s="77"/>
      <c r="G87" s="77"/>
      <c r="H87" s="77"/>
      <c r="I87" s="526"/>
      <c r="J87" s="526"/>
      <c r="K87" s="526"/>
      <c r="L87" s="526"/>
      <c r="M87" s="80"/>
      <c r="N87" s="526"/>
      <c r="O87" s="526"/>
      <c r="P87" s="80"/>
      <c r="Q87" s="526"/>
      <c r="R87" s="80"/>
      <c r="S87" s="526"/>
      <c r="T87" s="119" t="str">
        <f t="shared" si="9"/>
        <v xml:space="preserve"> </v>
      </c>
      <c r="U87" s="77"/>
      <c r="V87" s="77"/>
      <c r="W87" s="77"/>
      <c r="X87" s="79"/>
      <c r="Y87" s="245"/>
      <c r="Z87" s="82"/>
      <c r="AA87" s="77"/>
      <c r="AB87" s="77"/>
      <c r="AC87" s="77"/>
      <c r="AD87" s="82"/>
      <c r="AE87" s="599"/>
      <c r="AF87" s="81"/>
      <c r="AG87" s="77"/>
    </row>
    <row r="88" spans="1:43" ht="15" customHeight="1" x14ac:dyDescent="0.25">
      <c r="A88" s="244">
        <v>86</v>
      </c>
      <c r="B88" s="78"/>
      <c r="C88" s="77"/>
      <c r="D88" s="79"/>
      <c r="E88" s="77"/>
      <c r="F88" s="77"/>
      <c r="G88" s="77"/>
      <c r="H88" s="77"/>
      <c r="I88" s="526"/>
      <c r="J88" s="526"/>
      <c r="K88" s="526"/>
      <c r="L88" s="526"/>
      <c r="M88" s="80"/>
      <c r="N88" s="526"/>
      <c r="O88" s="526"/>
      <c r="P88" s="80"/>
      <c r="Q88" s="526"/>
      <c r="R88" s="80"/>
      <c r="S88" s="526"/>
      <c r="T88" s="119" t="str">
        <f t="shared" si="9"/>
        <v xml:space="preserve"> </v>
      </c>
      <c r="U88" s="77"/>
      <c r="V88" s="77"/>
      <c r="W88" s="77"/>
      <c r="X88" s="79"/>
      <c r="Y88" s="245"/>
      <c r="Z88" s="82"/>
      <c r="AA88" s="77"/>
      <c r="AB88" s="85"/>
      <c r="AC88" s="77"/>
      <c r="AD88" s="82"/>
      <c r="AE88" s="599"/>
      <c r="AF88" s="84"/>
      <c r="AG88" s="77"/>
    </row>
    <row r="89" spans="1:43" ht="15" customHeight="1" x14ac:dyDescent="0.25">
      <c r="A89" s="242">
        <v>87</v>
      </c>
      <c r="B89" s="78"/>
      <c r="C89" s="77"/>
      <c r="D89" s="79"/>
      <c r="E89" s="77"/>
      <c r="F89" s="77"/>
      <c r="G89" s="77"/>
      <c r="H89" s="77"/>
      <c r="I89" s="526"/>
      <c r="J89" s="526"/>
      <c r="K89" s="526"/>
      <c r="L89" s="526"/>
      <c r="M89" s="80"/>
      <c r="N89" s="526"/>
      <c r="O89" s="526"/>
      <c r="P89" s="80"/>
      <c r="Q89" s="526"/>
      <c r="R89" s="80"/>
      <c r="S89" s="526"/>
      <c r="T89" s="119" t="str">
        <f t="shared" si="9"/>
        <v xml:space="preserve"> </v>
      </c>
      <c r="U89" s="77"/>
      <c r="V89" s="77"/>
      <c r="W89" s="77"/>
      <c r="X89" s="79"/>
      <c r="Y89" s="245"/>
      <c r="Z89" s="82"/>
      <c r="AA89" s="77"/>
      <c r="AB89" s="77"/>
      <c r="AC89" s="77"/>
      <c r="AD89" s="82"/>
      <c r="AE89" s="599"/>
      <c r="AF89" s="81"/>
      <c r="AG89" s="77"/>
    </row>
    <row r="90" spans="1:43" ht="15" customHeight="1" x14ac:dyDescent="0.25">
      <c r="A90" s="244">
        <v>88</v>
      </c>
      <c r="B90" s="78"/>
      <c r="C90" s="77"/>
      <c r="D90" s="79"/>
      <c r="E90" s="77"/>
      <c r="F90" s="77"/>
      <c r="G90" s="77"/>
      <c r="H90" s="77"/>
      <c r="I90" s="526"/>
      <c r="J90" s="526"/>
      <c r="K90" s="526"/>
      <c r="L90" s="526"/>
      <c r="M90" s="80"/>
      <c r="N90" s="526"/>
      <c r="O90" s="526"/>
      <c r="P90" s="80"/>
      <c r="Q90" s="526"/>
      <c r="R90" s="80"/>
      <c r="S90" s="526"/>
      <c r="T90" s="119" t="str">
        <f t="shared" si="9"/>
        <v xml:space="preserve"> </v>
      </c>
      <c r="U90" s="77"/>
      <c r="V90" s="77"/>
      <c r="W90" s="77"/>
      <c r="X90" s="79"/>
      <c r="Y90" s="245"/>
      <c r="Z90" s="82"/>
      <c r="AA90" s="77"/>
      <c r="AB90" s="85"/>
      <c r="AC90" s="77"/>
      <c r="AD90" s="82"/>
      <c r="AE90" s="599"/>
      <c r="AF90" s="84"/>
      <c r="AG90" s="77"/>
    </row>
    <row r="91" spans="1:43" ht="15" customHeight="1" x14ac:dyDescent="0.25">
      <c r="A91" s="242">
        <v>89</v>
      </c>
      <c r="B91" s="78"/>
      <c r="C91" s="77"/>
      <c r="D91" s="79"/>
      <c r="E91" s="77"/>
      <c r="F91" s="77"/>
      <c r="G91" s="77"/>
      <c r="H91" s="77"/>
      <c r="I91" s="526"/>
      <c r="J91" s="526"/>
      <c r="K91" s="526"/>
      <c r="L91" s="526"/>
      <c r="M91" s="80"/>
      <c r="N91" s="526"/>
      <c r="O91" s="526"/>
      <c r="P91" s="80"/>
      <c r="Q91" s="526"/>
      <c r="R91" s="80"/>
      <c r="S91" s="526"/>
      <c r="T91" s="119" t="str">
        <f t="shared" ref="T91:T122" si="10">IF($I91&lt;=0, " ",IF($I91&lt;=0.25, "A",IF($I91&lt;10, "B",IF($I91&lt;100, "C", IF($I91&lt;300, "D",IF($I91&lt;1000, "E",IF($I91&lt;5000,"F",IF($I91&gt;=5000, "G"))))))))</f>
        <v xml:space="preserve"> </v>
      </c>
      <c r="U91" s="77"/>
      <c r="V91" s="77"/>
      <c r="W91" s="77"/>
      <c r="X91" s="79"/>
      <c r="Y91" s="245"/>
      <c r="Z91" s="82"/>
      <c r="AA91" s="77"/>
      <c r="AB91" s="77"/>
      <c r="AC91" s="77"/>
      <c r="AD91" s="82"/>
      <c r="AE91" s="599"/>
      <c r="AF91" s="81"/>
      <c r="AG91" s="77"/>
    </row>
    <row r="92" spans="1:43" ht="15" customHeight="1" x14ac:dyDescent="0.25">
      <c r="A92" s="244">
        <v>90</v>
      </c>
      <c r="B92" s="78"/>
      <c r="C92" s="77"/>
      <c r="D92" s="79"/>
      <c r="E92" s="77"/>
      <c r="F92" s="77"/>
      <c r="G92" s="77"/>
      <c r="H92" s="77"/>
      <c r="I92" s="526"/>
      <c r="J92" s="526"/>
      <c r="K92" s="526"/>
      <c r="L92" s="526"/>
      <c r="M92" s="80"/>
      <c r="N92" s="526"/>
      <c r="O92" s="526"/>
      <c r="P92" s="80"/>
      <c r="Q92" s="526"/>
      <c r="R92" s="80"/>
      <c r="S92" s="526"/>
      <c r="T92" s="119" t="str">
        <f t="shared" si="10"/>
        <v xml:space="preserve"> </v>
      </c>
      <c r="U92" s="77"/>
      <c r="V92" s="77"/>
      <c r="W92" s="77"/>
      <c r="X92" s="79"/>
      <c r="Y92" s="245"/>
      <c r="Z92" s="82"/>
      <c r="AA92" s="77"/>
      <c r="AB92" s="85"/>
      <c r="AC92" s="77"/>
      <c r="AD92" s="82"/>
      <c r="AE92" s="599"/>
      <c r="AF92" s="84"/>
      <c r="AG92" s="77"/>
    </row>
    <row r="93" spans="1:43" ht="15" customHeight="1" x14ac:dyDescent="0.25">
      <c r="A93" s="242">
        <v>91</v>
      </c>
      <c r="B93" s="78"/>
      <c r="C93" s="77"/>
      <c r="D93" s="79"/>
      <c r="E93" s="77"/>
      <c r="F93" s="77"/>
      <c r="G93" s="77"/>
      <c r="H93" s="77"/>
      <c r="I93" s="526"/>
      <c r="J93" s="526"/>
      <c r="K93" s="526"/>
      <c r="L93" s="526"/>
      <c r="M93" s="80"/>
      <c r="N93" s="526"/>
      <c r="O93" s="526"/>
      <c r="P93" s="80"/>
      <c r="Q93" s="526"/>
      <c r="R93" s="80"/>
      <c r="S93" s="526"/>
      <c r="T93" s="119" t="str">
        <f t="shared" si="10"/>
        <v xml:space="preserve"> </v>
      </c>
      <c r="U93" s="77"/>
      <c r="V93" s="77"/>
      <c r="W93" s="77"/>
      <c r="X93" s="79"/>
      <c r="Y93" s="245"/>
      <c r="Z93" s="82"/>
      <c r="AA93" s="77"/>
      <c r="AB93" s="77"/>
      <c r="AC93" s="77"/>
      <c r="AD93" s="82"/>
      <c r="AE93" s="599"/>
      <c r="AF93" s="81"/>
      <c r="AG93" s="77"/>
    </row>
    <row r="94" spans="1:43" ht="15" customHeight="1" x14ac:dyDescent="0.25">
      <c r="A94" s="244">
        <v>92</v>
      </c>
      <c r="B94" s="78"/>
      <c r="C94" s="77"/>
      <c r="D94" s="79"/>
      <c r="E94" s="77"/>
      <c r="F94" s="77"/>
      <c r="G94" s="77"/>
      <c r="H94" s="77"/>
      <c r="I94" s="526"/>
      <c r="J94" s="526"/>
      <c r="K94" s="526"/>
      <c r="L94" s="526"/>
      <c r="M94" s="80"/>
      <c r="N94" s="526"/>
      <c r="O94" s="526"/>
      <c r="P94" s="80"/>
      <c r="Q94" s="526"/>
      <c r="R94" s="80"/>
      <c r="S94" s="526"/>
      <c r="T94" s="119" t="str">
        <f t="shared" si="10"/>
        <v xml:space="preserve"> </v>
      </c>
      <c r="U94" s="77"/>
      <c r="V94" s="77"/>
      <c r="W94" s="77"/>
      <c r="X94" s="79"/>
      <c r="Y94" s="245"/>
      <c r="Z94" s="82"/>
      <c r="AA94" s="77"/>
      <c r="AB94" s="85"/>
      <c r="AC94" s="77"/>
      <c r="AD94" s="82"/>
      <c r="AE94" s="599"/>
      <c r="AF94" s="84"/>
      <c r="AG94" s="77"/>
    </row>
    <row r="95" spans="1:43" ht="15" customHeight="1" x14ac:dyDescent="0.25">
      <c r="A95" s="242">
        <v>93</v>
      </c>
      <c r="B95" s="78"/>
      <c r="C95" s="77"/>
      <c r="D95" s="79"/>
      <c r="E95" s="77"/>
      <c r="F95" s="77"/>
      <c r="G95" s="77"/>
      <c r="H95" s="77"/>
      <c r="I95" s="526"/>
      <c r="J95" s="526"/>
      <c r="K95" s="526"/>
      <c r="L95" s="526"/>
      <c r="M95" s="80"/>
      <c r="N95" s="526"/>
      <c r="O95" s="526"/>
      <c r="P95" s="80"/>
      <c r="Q95" s="526"/>
      <c r="R95" s="80"/>
      <c r="S95" s="526"/>
      <c r="T95" s="119" t="str">
        <f t="shared" si="10"/>
        <v xml:space="preserve"> </v>
      </c>
      <c r="U95" s="77"/>
      <c r="V95" s="77"/>
      <c r="W95" s="77"/>
      <c r="X95" s="79"/>
      <c r="Y95" s="245"/>
      <c r="Z95" s="82"/>
      <c r="AA95" s="77"/>
      <c r="AB95" s="77"/>
      <c r="AC95" s="77"/>
      <c r="AD95" s="82"/>
      <c r="AE95" s="599"/>
      <c r="AF95" s="81"/>
      <c r="AG95" s="77"/>
    </row>
    <row r="96" spans="1:43" ht="15" customHeight="1" x14ac:dyDescent="0.25">
      <c r="A96" s="244">
        <v>94</v>
      </c>
      <c r="B96" s="78"/>
      <c r="C96" s="77"/>
      <c r="D96" s="79"/>
      <c r="E96" s="77"/>
      <c r="F96" s="77"/>
      <c r="G96" s="77"/>
      <c r="H96" s="77"/>
      <c r="I96" s="526"/>
      <c r="J96" s="526"/>
      <c r="K96" s="526"/>
      <c r="L96" s="526"/>
      <c r="M96" s="80"/>
      <c r="N96" s="526"/>
      <c r="O96" s="526"/>
      <c r="P96" s="80"/>
      <c r="Q96" s="526"/>
      <c r="R96" s="80"/>
      <c r="S96" s="526"/>
      <c r="T96" s="119" t="str">
        <f t="shared" si="10"/>
        <v xml:space="preserve"> </v>
      </c>
      <c r="U96" s="77"/>
      <c r="V96" s="77"/>
      <c r="W96" s="77"/>
      <c r="X96" s="79"/>
      <c r="Y96" s="245"/>
      <c r="Z96" s="82"/>
      <c r="AA96" s="77"/>
      <c r="AB96" s="85"/>
      <c r="AC96" s="77"/>
      <c r="AD96" s="82"/>
      <c r="AE96" s="599"/>
      <c r="AF96" s="84"/>
      <c r="AG96" s="77"/>
    </row>
    <row r="97" spans="1:33" ht="15" customHeight="1" x14ac:dyDescent="0.25">
      <c r="A97" s="242">
        <v>95</v>
      </c>
      <c r="B97" s="78"/>
      <c r="C97" s="77"/>
      <c r="D97" s="79"/>
      <c r="E97" s="77"/>
      <c r="F97" s="77"/>
      <c r="G97" s="77"/>
      <c r="H97" s="77"/>
      <c r="I97" s="526"/>
      <c r="J97" s="526"/>
      <c r="K97" s="526"/>
      <c r="L97" s="526"/>
      <c r="M97" s="80"/>
      <c r="N97" s="526"/>
      <c r="O97" s="526"/>
      <c r="P97" s="80"/>
      <c r="Q97" s="526"/>
      <c r="R97" s="80"/>
      <c r="S97" s="526"/>
      <c r="T97" s="119" t="str">
        <f t="shared" si="10"/>
        <v xml:space="preserve"> </v>
      </c>
      <c r="U97" s="77"/>
      <c r="V97" s="77"/>
      <c r="W97" s="77"/>
      <c r="X97" s="79"/>
      <c r="Y97" s="245"/>
      <c r="Z97" s="82"/>
      <c r="AA97" s="77"/>
      <c r="AB97" s="77"/>
      <c r="AC97" s="77"/>
      <c r="AD97" s="82"/>
      <c r="AE97" s="599"/>
      <c r="AF97" s="81"/>
      <c r="AG97" s="77"/>
    </row>
    <row r="98" spans="1:33" ht="15" customHeight="1" x14ac:dyDescent="0.25">
      <c r="A98" s="244">
        <v>96</v>
      </c>
      <c r="B98" s="78"/>
      <c r="C98" s="77"/>
      <c r="D98" s="79"/>
      <c r="E98" s="77"/>
      <c r="F98" s="77"/>
      <c r="G98" s="77"/>
      <c r="H98" s="77"/>
      <c r="I98" s="526"/>
      <c r="J98" s="526"/>
      <c r="K98" s="526"/>
      <c r="L98" s="526"/>
      <c r="M98" s="80"/>
      <c r="N98" s="526"/>
      <c r="O98" s="526"/>
      <c r="P98" s="80"/>
      <c r="Q98" s="526"/>
      <c r="R98" s="80"/>
      <c r="S98" s="526"/>
      <c r="T98" s="119" t="str">
        <f t="shared" si="10"/>
        <v xml:space="preserve"> </v>
      </c>
      <c r="U98" s="77"/>
      <c r="V98" s="77"/>
      <c r="W98" s="77"/>
      <c r="X98" s="79"/>
      <c r="Y98" s="245"/>
      <c r="Z98" s="82"/>
      <c r="AA98" s="77"/>
      <c r="AB98" s="85"/>
      <c r="AC98" s="77"/>
      <c r="AD98" s="82"/>
      <c r="AE98" s="599"/>
      <c r="AF98" s="84"/>
      <c r="AG98" s="77"/>
    </row>
    <row r="99" spans="1:33" ht="15" customHeight="1" x14ac:dyDescent="0.25">
      <c r="A99" s="242">
        <v>97</v>
      </c>
      <c r="B99" s="78"/>
      <c r="C99" s="77"/>
      <c r="D99" s="79"/>
      <c r="E99" s="77"/>
      <c r="F99" s="77"/>
      <c r="G99" s="77"/>
      <c r="H99" s="77"/>
      <c r="I99" s="526"/>
      <c r="J99" s="526"/>
      <c r="K99" s="526"/>
      <c r="L99" s="526"/>
      <c r="M99" s="80"/>
      <c r="N99" s="526"/>
      <c r="O99" s="526"/>
      <c r="P99" s="80"/>
      <c r="Q99" s="526"/>
      <c r="R99" s="80"/>
      <c r="S99" s="526"/>
      <c r="T99" s="119" t="str">
        <f t="shared" si="10"/>
        <v xml:space="preserve"> </v>
      </c>
      <c r="U99" s="77"/>
      <c r="V99" s="77"/>
      <c r="W99" s="77"/>
      <c r="X99" s="79"/>
      <c r="Y99" s="245"/>
      <c r="Z99" s="82"/>
      <c r="AA99" s="77"/>
      <c r="AB99" s="77"/>
      <c r="AC99" s="77"/>
      <c r="AD99" s="82"/>
      <c r="AE99" s="599"/>
      <c r="AF99" s="81"/>
      <c r="AG99" s="77"/>
    </row>
    <row r="100" spans="1:33" ht="15" customHeight="1" x14ac:dyDescent="0.25">
      <c r="A100" s="244">
        <v>98</v>
      </c>
      <c r="B100" s="78"/>
      <c r="C100" s="77"/>
      <c r="D100" s="79"/>
      <c r="E100" s="77"/>
      <c r="F100" s="77"/>
      <c r="G100" s="77"/>
      <c r="H100" s="77"/>
      <c r="I100" s="526"/>
      <c r="J100" s="526"/>
      <c r="K100" s="526"/>
      <c r="L100" s="526"/>
      <c r="M100" s="80"/>
      <c r="N100" s="526"/>
      <c r="O100" s="526"/>
      <c r="P100" s="80"/>
      <c r="Q100" s="526"/>
      <c r="R100" s="80"/>
      <c r="S100" s="526"/>
      <c r="T100" s="119" t="str">
        <f t="shared" si="10"/>
        <v xml:space="preserve"> </v>
      </c>
      <c r="U100" s="77"/>
      <c r="V100" s="77"/>
      <c r="W100" s="77"/>
      <c r="X100" s="79"/>
      <c r="Y100" s="245"/>
      <c r="Z100" s="82"/>
      <c r="AA100" s="77"/>
      <c r="AB100" s="85"/>
      <c r="AC100" s="77"/>
      <c r="AD100" s="82"/>
      <c r="AE100" s="599"/>
      <c r="AF100" s="84"/>
      <c r="AG100" s="77"/>
    </row>
    <row r="101" spans="1:33" ht="15" customHeight="1" x14ac:dyDescent="0.25">
      <c r="A101" s="242">
        <v>99</v>
      </c>
      <c r="B101" s="78"/>
      <c r="C101" s="77"/>
      <c r="D101" s="79"/>
      <c r="E101" s="77"/>
      <c r="F101" s="77"/>
      <c r="G101" s="77"/>
      <c r="H101" s="77"/>
      <c r="I101" s="526"/>
      <c r="J101" s="526"/>
      <c r="K101" s="526"/>
      <c r="L101" s="526"/>
      <c r="M101" s="80"/>
      <c r="N101" s="526"/>
      <c r="O101" s="526"/>
      <c r="P101" s="80"/>
      <c r="Q101" s="526"/>
      <c r="R101" s="80"/>
      <c r="S101" s="526"/>
      <c r="T101" s="119" t="str">
        <f t="shared" si="10"/>
        <v xml:space="preserve"> </v>
      </c>
      <c r="U101" s="77"/>
      <c r="V101" s="77"/>
      <c r="W101" s="77"/>
      <c r="X101" s="79"/>
      <c r="Y101" s="245"/>
      <c r="Z101" s="82"/>
      <c r="AA101" s="77"/>
      <c r="AB101" s="77"/>
      <c r="AC101" s="77"/>
      <c r="AD101" s="82"/>
      <c r="AE101" s="599"/>
      <c r="AF101" s="81"/>
      <c r="AG101" s="77"/>
    </row>
    <row r="102" spans="1:33" ht="15" customHeight="1" x14ac:dyDescent="0.25">
      <c r="A102" s="244">
        <v>100</v>
      </c>
      <c r="B102" s="78"/>
      <c r="C102" s="77"/>
      <c r="D102" s="79"/>
      <c r="E102" s="77"/>
      <c r="F102" s="77"/>
      <c r="G102" s="77"/>
      <c r="H102" s="77"/>
      <c r="I102" s="526"/>
      <c r="J102" s="526"/>
      <c r="K102" s="526"/>
      <c r="L102" s="526"/>
      <c r="M102" s="80"/>
      <c r="N102" s="526"/>
      <c r="O102" s="526"/>
      <c r="P102" s="80"/>
      <c r="Q102" s="526"/>
      <c r="R102" s="80"/>
      <c r="S102" s="526"/>
      <c r="T102" s="119" t="str">
        <f t="shared" si="10"/>
        <v xml:space="preserve"> </v>
      </c>
      <c r="U102" s="77"/>
      <c r="V102" s="77"/>
      <c r="W102" s="77"/>
      <c r="X102" s="79"/>
      <c r="Y102" s="245"/>
      <c r="Z102" s="82"/>
      <c r="AA102" s="77"/>
      <c r="AB102" s="85"/>
      <c r="AC102" s="77"/>
      <c r="AD102" s="82"/>
      <c r="AE102" s="599"/>
      <c r="AF102" s="84"/>
      <c r="AG102" s="77"/>
    </row>
    <row r="103" spans="1:33" ht="15" customHeight="1" x14ac:dyDescent="0.25">
      <c r="A103" s="242">
        <v>101</v>
      </c>
      <c r="B103" s="78"/>
      <c r="C103" s="77"/>
      <c r="D103" s="79"/>
      <c r="E103" s="77"/>
      <c r="F103" s="77"/>
      <c r="G103" s="77"/>
      <c r="H103" s="77"/>
      <c r="I103" s="526"/>
      <c r="J103" s="526"/>
      <c r="K103" s="526"/>
      <c r="L103" s="526"/>
      <c r="M103" s="80"/>
      <c r="N103" s="526"/>
      <c r="O103" s="526"/>
      <c r="P103" s="80"/>
      <c r="Q103" s="526"/>
      <c r="R103" s="80"/>
      <c r="S103" s="526"/>
      <c r="T103" s="119" t="str">
        <f t="shared" si="10"/>
        <v xml:space="preserve"> </v>
      </c>
      <c r="U103" s="77"/>
      <c r="V103" s="77"/>
      <c r="W103" s="77"/>
      <c r="X103" s="79"/>
      <c r="Y103" s="245"/>
      <c r="Z103" s="82"/>
      <c r="AA103" s="77"/>
      <c r="AB103" s="77"/>
      <c r="AC103" s="77"/>
      <c r="AD103" s="82"/>
      <c r="AE103" s="599"/>
      <c r="AF103" s="81"/>
      <c r="AG103" s="77"/>
    </row>
    <row r="104" spans="1:33" ht="15" customHeight="1" x14ac:dyDescent="0.25">
      <c r="A104" s="244">
        <v>102</v>
      </c>
      <c r="B104" s="78"/>
      <c r="C104" s="77"/>
      <c r="D104" s="79"/>
      <c r="E104" s="77"/>
      <c r="F104" s="77"/>
      <c r="G104" s="77"/>
      <c r="H104" s="77"/>
      <c r="I104" s="526"/>
      <c r="J104" s="526"/>
      <c r="K104" s="526"/>
      <c r="L104" s="526"/>
      <c r="M104" s="80"/>
      <c r="N104" s="526"/>
      <c r="O104" s="526"/>
      <c r="P104" s="80"/>
      <c r="Q104" s="526"/>
      <c r="R104" s="80"/>
      <c r="S104" s="526"/>
      <c r="T104" s="119" t="str">
        <f t="shared" si="10"/>
        <v xml:space="preserve"> </v>
      </c>
      <c r="U104" s="77"/>
      <c r="V104" s="77"/>
      <c r="W104" s="77"/>
      <c r="X104" s="79"/>
      <c r="Y104" s="245"/>
      <c r="Z104" s="82"/>
      <c r="AA104" s="77"/>
      <c r="AB104" s="85"/>
      <c r="AC104" s="77"/>
      <c r="AD104" s="82"/>
      <c r="AE104" s="599"/>
      <c r="AF104" s="84"/>
      <c r="AG104" s="77"/>
    </row>
    <row r="105" spans="1:33" ht="15" customHeight="1" x14ac:dyDescent="0.25">
      <c r="A105" s="242">
        <v>103</v>
      </c>
      <c r="B105" s="78"/>
      <c r="C105" s="77"/>
      <c r="D105" s="79"/>
      <c r="E105" s="77"/>
      <c r="F105" s="77"/>
      <c r="G105" s="77"/>
      <c r="H105" s="77"/>
      <c r="I105" s="526"/>
      <c r="J105" s="526"/>
      <c r="K105" s="526"/>
      <c r="L105" s="526"/>
      <c r="M105" s="80"/>
      <c r="N105" s="526"/>
      <c r="O105" s="526"/>
      <c r="P105" s="80"/>
      <c r="Q105" s="526"/>
      <c r="R105" s="80"/>
      <c r="S105" s="526"/>
      <c r="T105" s="119" t="str">
        <f t="shared" si="10"/>
        <v xml:space="preserve"> </v>
      </c>
      <c r="U105" s="77"/>
      <c r="V105" s="77"/>
      <c r="W105" s="77"/>
      <c r="X105" s="79"/>
      <c r="Y105" s="245"/>
      <c r="Z105" s="82"/>
      <c r="AA105" s="77"/>
      <c r="AB105" s="77"/>
      <c r="AC105" s="77"/>
      <c r="AD105" s="82"/>
      <c r="AE105" s="599"/>
      <c r="AF105" s="81"/>
      <c r="AG105" s="77"/>
    </row>
    <row r="106" spans="1:33" ht="15" customHeight="1" x14ac:dyDescent="0.25">
      <c r="A106" s="244">
        <v>104</v>
      </c>
      <c r="B106" s="78"/>
      <c r="C106" s="77"/>
      <c r="D106" s="79"/>
      <c r="E106" s="77"/>
      <c r="F106" s="77"/>
      <c r="G106" s="77"/>
      <c r="H106" s="77"/>
      <c r="I106" s="526"/>
      <c r="J106" s="526"/>
      <c r="K106" s="526"/>
      <c r="L106" s="526"/>
      <c r="M106" s="80"/>
      <c r="N106" s="526"/>
      <c r="O106" s="526"/>
      <c r="P106" s="80"/>
      <c r="Q106" s="526"/>
      <c r="R106" s="80"/>
      <c r="S106" s="526"/>
      <c r="T106" s="119" t="str">
        <f t="shared" si="10"/>
        <v xml:space="preserve"> </v>
      </c>
      <c r="U106" s="77"/>
      <c r="V106" s="77"/>
      <c r="W106" s="77"/>
      <c r="X106" s="79"/>
      <c r="Y106" s="245"/>
      <c r="Z106" s="82"/>
      <c r="AA106" s="77"/>
      <c r="AB106" s="85"/>
      <c r="AC106" s="77"/>
      <c r="AD106" s="82"/>
      <c r="AE106" s="599"/>
      <c r="AF106" s="84"/>
      <c r="AG106" s="77"/>
    </row>
    <row r="107" spans="1:33" ht="15" customHeight="1" x14ac:dyDescent="0.25">
      <c r="A107" s="242">
        <v>105</v>
      </c>
      <c r="B107" s="78"/>
      <c r="C107" s="77"/>
      <c r="D107" s="79"/>
      <c r="E107" s="77"/>
      <c r="F107" s="77"/>
      <c r="G107" s="77"/>
      <c r="H107" s="77"/>
      <c r="I107" s="526"/>
      <c r="J107" s="526"/>
      <c r="K107" s="526"/>
      <c r="L107" s="526"/>
      <c r="M107" s="80"/>
      <c r="N107" s="526"/>
      <c r="O107" s="526"/>
      <c r="P107" s="80"/>
      <c r="Q107" s="526"/>
      <c r="R107" s="80"/>
      <c r="S107" s="526"/>
      <c r="T107" s="119" t="str">
        <f t="shared" si="10"/>
        <v xml:space="preserve"> </v>
      </c>
      <c r="U107" s="77"/>
      <c r="V107" s="77"/>
      <c r="W107" s="77"/>
      <c r="X107" s="79"/>
      <c r="Y107" s="245"/>
      <c r="Z107" s="82"/>
      <c r="AA107" s="77"/>
      <c r="AB107" s="77"/>
      <c r="AC107" s="77"/>
      <c r="AD107" s="82"/>
      <c r="AE107" s="599"/>
      <c r="AF107" s="81"/>
      <c r="AG107" s="77"/>
    </row>
    <row r="108" spans="1:33" ht="15" customHeight="1" x14ac:dyDescent="0.25">
      <c r="A108" s="244">
        <v>106</v>
      </c>
      <c r="B108" s="78"/>
      <c r="C108" s="77"/>
      <c r="D108" s="79"/>
      <c r="E108" s="77"/>
      <c r="F108" s="77"/>
      <c r="G108" s="77"/>
      <c r="H108" s="77"/>
      <c r="I108" s="526"/>
      <c r="J108" s="526"/>
      <c r="K108" s="526"/>
      <c r="L108" s="526"/>
      <c r="M108" s="80"/>
      <c r="N108" s="526"/>
      <c r="O108" s="526"/>
      <c r="P108" s="80"/>
      <c r="Q108" s="526"/>
      <c r="R108" s="80"/>
      <c r="S108" s="526"/>
      <c r="T108" s="119" t="str">
        <f t="shared" si="10"/>
        <v xml:space="preserve"> </v>
      </c>
      <c r="U108" s="77"/>
      <c r="V108" s="77"/>
      <c r="W108" s="77"/>
      <c r="X108" s="79"/>
      <c r="Y108" s="245"/>
      <c r="Z108" s="82"/>
      <c r="AA108" s="77"/>
      <c r="AB108" s="85"/>
      <c r="AC108" s="77"/>
      <c r="AD108" s="82"/>
      <c r="AE108" s="599"/>
      <c r="AF108" s="84"/>
      <c r="AG108" s="77"/>
    </row>
    <row r="109" spans="1:33" ht="15" customHeight="1" x14ac:dyDescent="0.25">
      <c r="A109" s="242">
        <v>107</v>
      </c>
      <c r="B109" s="78"/>
      <c r="C109" s="77"/>
      <c r="D109" s="79"/>
      <c r="E109" s="77"/>
      <c r="F109" s="77"/>
      <c r="G109" s="77"/>
      <c r="H109" s="77"/>
      <c r="I109" s="526"/>
      <c r="J109" s="526"/>
      <c r="K109" s="526"/>
      <c r="L109" s="526"/>
      <c r="M109" s="80"/>
      <c r="N109" s="526"/>
      <c r="O109" s="526"/>
      <c r="P109" s="80"/>
      <c r="Q109" s="526"/>
      <c r="R109" s="80"/>
      <c r="S109" s="526"/>
      <c r="T109" s="119" t="str">
        <f t="shared" si="10"/>
        <v xml:space="preserve"> </v>
      </c>
      <c r="U109" s="77"/>
      <c r="V109" s="77"/>
      <c r="W109" s="77"/>
      <c r="X109" s="79"/>
      <c r="Y109" s="245"/>
      <c r="Z109" s="82"/>
      <c r="AA109" s="77"/>
      <c r="AB109" s="77"/>
      <c r="AC109" s="77"/>
      <c r="AD109" s="82"/>
      <c r="AE109" s="599"/>
      <c r="AF109" s="81"/>
      <c r="AG109" s="77"/>
    </row>
    <row r="110" spans="1:33" ht="15" customHeight="1" x14ac:dyDescent="0.25">
      <c r="A110" s="244">
        <v>108</v>
      </c>
      <c r="B110" s="78"/>
      <c r="C110" s="77"/>
      <c r="D110" s="79"/>
      <c r="E110" s="77"/>
      <c r="F110" s="77"/>
      <c r="G110" s="77"/>
      <c r="H110" s="77"/>
      <c r="I110" s="526"/>
      <c r="J110" s="526"/>
      <c r="K110" s="526"/>
      <c r="L110" s="526"/>
      <c r="M110" s="80"/>
      <c r="N110" s="526"/>
      <c r="O110" s="526"/>
      <c r="P110" s="80"/>
      <c r="Q110" s="526"/>
      <c r="R110" s="80"/>
      <c r="S110" s="526"/>
      <c r="T110" s="119" t="str">
        <f t="shared" si="10"/>
        <v xml:space="preserve"> </v>
      </c>
      <c r="U110" s="77"/>
      <c r="V110" s="77"/>
      <c r="W110" s="77"/>
      <c r="X110" s="79"/>
      <c r="Y110" s="245"/>
      <c r="Z110" s="82"/>
      <c r="AA110" s="77"/>
      <c r="AB110" s="85"/>
      <c r="AC110" s="77"/>
      <c r="AD110" s="82"/>
      <c r="AE110" s="599"/>
      <c r="AF110" s="84"/>
      <c r="AG110" s="77"/>
    </row>
    <row r="111" spans="1:33" ht="15" customHeight="1" x14ac:dyDescent="0.25">
      <c r="A111" s="242">
        <v>109</v>
      </c>
      <c r="B111" s="78"/>
      <c r="C111" s="77"/>
      <c r="D111" s="79"/>
      <c r="E111" s="77"/>
      <c r="F111" s="77"/>
      <c r="G111" s="77"/>
      <c r="H111" s="77"/>
      <c r="I111" s="526"/>
      <c r="J111" s="526"/>
      <c r="K111" s="526"/>
      <c r="L111" s="526"/>
      <c r="M111" s="80"/>
      <c r="N111" s="526"/>
      <c r="O111" s="526"/>
      <c r="P111" s="80"/>
      <c r="Q111" s="526"/>
      <c r="R111" s="80"/>
      <c r="S111" s="526"/>
      <c r="T111" s="119" t="str">
        <f t="shared" si="10"/>
        <v xml:space="preserve"> </v>
      </c>
      <c r="U111" s="77"/>
      <c r="V111" s="77"/>
      <c r="W111" s="77"/>
      <c r="X111" s="79"/>
      <c r="Y111" s="245"/>
      <c r="Z111" s="82"/>
      <c r="AA111" s="77"/>
      <c r="AB111" s="77"/>
      <c r="AC111" s="77"/>
      <c r="AD111" s="82"/>
      <c r="AE111" s="599"/>
      <c r="AF111" s="81"/>
      <c r="AG111" s="77"/>
    </row>
    <row r="112" spans="1:33" ht="15" customHeight="1" x14ac:dyDescent="0.25">
      <c r="A112" s="244">
        <v>110</v>
      </c>
      <c r="B112" s="78"/>
      <c r="C112" s="77"/>
      <c r="D112" s="79"/>
      <c r="E112" s="77"/>
      <c r="F112" s="77"/>
      <c r="G112" s="77"/>
      <c r="H112" s="77"/>
      <c r="I112" s="526"/>
      <c r="J112" s="526"/>
      <c r="K112" s="526"/>
      <c r="L112" s="526"/>
      <c r="M112" s="80"/>
      <c r="N112" s="526"/>
      <c r="O112" s="526"/>
      <c r="P112" s="80"/>
      <c r="Q112" s="526"/>
      <c r="R112" s="80"/>
      <c r="S112" s="526"/>
      <c r="T112" s="119" t="str">
        <f t="shared" si="10"/>
        <v xml:space="preserve"> </v>
      </c>
      <c r="U112" s="77"/>
      <c r="V112" s="77"/>
      <c r="W112" s="77"/>
      <c r="X112" s="79"/>
      <c r="Y112" s="245"/>
      <c r="Z112" s="82"/>
      <c r="AA112" s="77"/>
      <c r="AB112" s="85"/>
      <c r="AC112" s="77"/>
      <c r="AD112" s="82"/>
      <c r="AE112" s="599"/>
      <c r="AF112" s="84"/>
      <c r="AG112" s="77"/>
    </row>
    <row r="113" spans="1:33" ht="15" customHeight="1" x14ac:dyDescent="0.25">
      <c r="A113" s="242">
        <v>111</v>
      </c>
      <c r="B113" s="78"/>
      <c r="C113" s="77"/>
      <c r="D113" s="79"/>
      <c r="E113" s="77"/>
      <c r="F113" s="77"/>
      <c r="G113" s="77"/>
      <c r="H113" s="77"/>
      <c r="I113" s="526"/>
      <c r="J113" s="526"/>
      <c r="K113" s="526"/>
      <c r="L113" s="526"/>
      <c r="M113" s="80"/>
      <c r="N113" s="526"/>
      <c r="O113" s="526"/>
      <c r="P113" s="80"/>
      <c r="Q113" s="526"/>
      <c r="R113" s="80"/>
      <c r="S113" s="526"/>
      <c r="T113" s="119" t="str">
        <f t="shared" si="10"/>
        <v xml:space="preserve"> </v>
      </c>
      <c r="U113" s="77"/>
      <c r="V113" s="77"/>
      <c r="W113" s="77"/>
      <c r="X113" s="79"/>
      <c r="Y113" s="245"/>
      <c r="Z113" s="82"/>
      <c r="AA113" s="77"/>
      <c r="AB113" s="77"/>
      <c r="AC113" s="77"/>
      <c r="AD113" s="82"/>
      <c r="AE113" s="599"/>
      <c r="AF113" s="81"/>
      <c r="AG113" s="77"/>
    </row>
    <row r="114" spans="1:33" ht="15" customHeight="1" x14ac:dyDescent="0.25">
      <c r="A114" s="244">
        <v>112</v>
      </c>
      <c r="B114" s="78"/>
      <c r="C114" s="77"/>
      <c r="D114" s="79"/>
      <c r="E114" s="77"/>
      <c r="F114" s="77"/>
      <c r="G114" s="77"/>
      <c r="H114" s="77"/>
      <c r="I114" s="526"/>
      <c r="J114" s="526"/>
      <c r="K114" s="526"/>
      <c r="L114" s="526"/>
      <c r="M114" s="80"/>
      <c r="N114" s="526"/>
      <c r="O114" s="526"/>
      <c r="P114" s="80"/>
      <c r="Q114" s="526"/>
      <c r="R114" s="80"/>
      <c r="S114" s="526"/>
      <c r="T114" s="119" t="str">
        <f t="shared" si="10"/>
        <v xml:space="preserve"> </v>
      </c>
      <c r="U114" s="77"/>
      <c r="V114" s="77"/>
      <c r="W114" s="77"/>
      <c r="X114" s="79"/>
      <c r="Y114" s="245"/>
      <c r="Z114" s="82"/>
      <c r="AA114" s="77"/>
      <c r="AB114" s="85"/>
      <c r="AC114" s="77"/>
      <c r="AD114" s="82"/>
      <c r="AE114" s="599"/>
      <c r="AF114" s="84"/>
      <c r="AG114" s="77"/>
    </row>
    <row r="115" spans="1:33" ht="15" customHeight="1" x14ac:dyDescent="0.25">
      <c r="A115" s="242">
        <v>113</v>
      </c>
      <c r="B115" s="78"/>
      <c r="C115" s="77"/>
      <c r="D115" s="79"/>
      <c r="E115" s="77"/>
      <c r="F115" s="77"/>
      <c r="G115" s="77"/>
      <c r="H115" s="77"/>
      <c r="I115" s="526"/>
      <c r="J115" s="526"/>
      <c r="K115" s="526"/>
      <c r="L115" s="526"/>
      <c r="M115" s="80"/>
      <c r="N115" s="526"/>
      <c r="O115" s="526"/>
      <c r="P115" s="80"/>
      <c r="Q115" s="526"/>
      <c r="R115" s="80"/>
      <c r="S115" s="526"/>
      <c r="T115" s="119" t="str">
        <f t="shared" si="10"/>
        <v xml:space="preserve"> </v>
      </c>
      <c r="U115" s="77"/>
      <c r="V115" s="77"/>
      <c r="W115" s="77"/>
      <c r="X115" s="79"/>
      <c r="Y115" s="245"/>
      <c r="Z115" s="82"/>
      <c r="AA115" s="77"/>
      <c r="AB115" s="77"/>
      <c r="AC115" s="77"/>
      <c r="AD115" s="82"/>
      <c r="AE115" s="599"/>
      <c r="AF115" s="81"/>
      <c r="AG115" s="77"/>
    </row>
    <row r="116" spans="1:33" ht="15" customHeight="1" x14ac:dyDescent="0.25">
      <c r="A116" s="244">
        <v>114</v>
      </c>
      <c r="B116" s="78"/>
      <c r="C116" s="77"/>
      <c r="D116" s="79"/>
      <c r="E116" s="77"/>
      <c r="F116" s="77"/>
      <c r="G116" s="77"/>
      <c r="H116" s="77"/>
      <c r="I116" s="526"/>
      <c r="J116" s="526"/>
      <c r="K116" s="526"/>
      <c r="L116" s="526"/>
      <c r="M116" s="80"/>
      <c r="N116" s="526"/>
      <c r="O116" s="526"/>
      <c r="P116" s="80"/>
      <c r="Q116" s="526"/>
      <c r="R116" s="80"/>
      <c r="S116" s="526"/>
      <c r="T116" s="119" t="str">
        <f t="shared" si="10"/>
        <v xml:space="preserve"> </v>
      </c>
      <c r="U116" s="77"/>
      <c r="V116" s="77"/>
      <c r="W116" s="77"/>
      <c r="X116" s="79"/>
      <c r="Y116" s="245"/>
      <c r="Z116" s="82"/>
      <c r="AA116" s="77"/>
      <c r="AB116" s="85"/>
      <c r="AC116" s="77"/>
      <c r="AD116" s="82"/>
      <c r="AE116" s="599"/>
      <c r="AF116" s="84"/>
      <c r="AG116" s="77"/>
    </row>
    <row r="117" spans="1:33" ht="15" customHeight="1" x14ac:dyDescent="0.25">
      <c r="A117" s="242">
        <v>115</v>
      </c>
      <c r="B117" s="78"/>
      <c r="C117" s="77"/>
      <c r="D117" s="79"/>
      <c r="E117" s="77"/>
      <c r="F117" s="77"/>
      <c r="G117" s="77"/>
      <c r="H117" s="77"/>
      <c r="I117" s="526"/>
      <c r="J117" s="526"/>
      <c r="K117" s="526"/>
      <c r="L117" s="526"/>
      <c r="M117" s="80"/>
      <c r="N117" s="526"/>
      <c r="O117" s="526"/>
      <c r="P117" s="80"/>
      <c r="Q117" s="526"/>
      <c r="R117" s="80"/>
      <c r="S117" s="526"/>
      <c r="T117" s="119" t="str">
        <f t="shared" si="10"/>
        <v xml:space="preserve"> </v>
      </c>
      <c r="U117" s="77"/>
      <c r="V117" s="77"/>
      <c r="W117" s="77"/>
      <c r="X117" s="79"/>
      <c r="Y117" s="245"/>
      <c r="Z117" s="82"/>
      <c r="AA117" s="77"/>
      <c r="AB117" s="77"/>
      <c r="AC117" s="77"/>
      <c r="AD117" s="82"/>
      <c r="AE117" s="599"/>
      <c r="AF117" s="81"/>
      <c r="AG117" s="77"/>
    </row>
    <row r="118" spans="1:33" ht="15" customHeight="1" x14ac:dyDescent="0.25">
      <c r="A118" s="244">
        <v>116</v>
      </c>
      <c r="B118" s="78"/>
      <c r="C118" s="77"/>
      <c r="D118" s="79"/>
      <c r="E118" s="77"/>
      <c r="F118" s="77"/>
      <c r="G118" s="77"/>
      <c r="H118" s="77"/>
      <c r="I118" s="526"/>
      <c r="J118" s="526"/>
      <c r="K118" s="526"/>
      <c r="L118" s="526"/>
      <c r="M118" s="80"/>
      <c r="N118" s="526"/>
      <c r="O118" s="526"/>
      <c r="P118" s="80"/>
      <c r="Q118" s="526"/>
      <c r="R118" s="80"/>
      <c r="S118" s="526"/>
      <c r="T118" s="119" t="str">
        <f t="shared" si="10"/>
        <v xml:space="preserve"> </v>
      </c>
      <c r="U118" s="77"/>
      <c r="V118" s="77"/>
      <c r="W118" s="77"/>
      <c r="X118" s="79"/>
      <c r="Y118" s="245"/>
      <c r="Z118" s="82"/>
      <c r="AA118" s="77"/>
      <c r="AB118" s="85"/>
      <c r="AC118" s="77"/>
      <c r="AD118" s="82"/>
      <c r="AE118" s="599"/>
      <c r="AF118" s="84"/>
      <c r="AG118" s="77"/>
    </row>
    <row r="119" spans="1:33" ht="15" customHeight="1" x14ac:dyDescent="0.25">
      <c r="A119" s="242">
        <v>117</v>
      </c>
      <c r="B119" s="78"/>
      <c r="C119" s="77"/>
      <c r="D119" s="79"/>
      <c r="E119" s="77"/>
      <c r="F119" s="77"/>
      <c r="G119" s="77"/>
      <c r="H119" s="77"/>
      <c r="I119" s="526"/>
      <c r="J119" s="526"/>
      <c r="K119" s="526"/>
      <c r="L119" s="526"/>
      <c r="M119" s="80"/>
      <c r="N119" s="526"/>
      <c r="O119" s="526"/>
      <c r="P119" s="80"/>
      <c r="Q119" s="526"/>
      <c r="R119" s="80"/>
      <c r="S119" s="526"/>
      <c r="T119" s="119" t="str">
        <f t="shared" si="10"/>
        <v xml:space="preserve"> </v>
      </c>
      <c r="U119" s="77"/>
      <c r="V119" s="77"/>
      <c r="W119" s="77"/>
      <c r="X119" s="79"/>
      <c r="Y119" s="245"/>
      <c r="Z119" s="82"/>
      <c r="AA119" s="77"/>
      <c r="AB119" s="77"/>
      <c r="AC119" s="77"/>
      <c r="AD119" s="82"/>
      <c r="AE119" s="599"/>
      <c r="AF119" s="81"/>
      <c r="AG119" s="77"/>
    </row>
    <row r="120" spans="1:33" ht="15" customHeight="1" x14ac:dyDescent="0.25">
      <c r="A120" s="244">
        <v>118</v>
      </c>
      <c r="B120" s="78"/>
      <c r="C120" s="77"/>
      <c r="D120" s="79"/>
      <c r="E120" s="77"/>
      <c r="F120" s="77"/>
      <c r="G120" s="77"/>
      <c r="H120" s="77"/>
      <c r="I120" s="526"/>
      <c r="J120" s="526"/>
      <c r="K120" s="526"/>
      <c r="L120" s="526"/>
      <c r="M120" s="80"/>
      <c r="N120" s="526"/>
      <c r="O120" s="526"/>
      <c r="P120" s="80"/>
      <c r="Q120" s="526"/>
      <c r="R120" s="80"/>
      <c r="S120" s="526"/>
      <c r="T120" s="119" t="str">
        <f t="shared" si="10"/>
        <v xml:space="preserve"> </v>
      </c>
      <c r="U120" s="77"/>
      <c r="V120" s="77"/>
      <c r="W120" s="77"/>
      <c r="X120" s="79"/>
      <c r="Y120" s="245"/>
      <c r="Z120" s="82"/>
      <c r="AA120" s="77"/>
      <c r="AB120" s="85"/>
      <c r="AC120" s="77"/>
      <c r="AD120" s="82"/>
      <c r="AE120" s="599"/>
      <c r="AF120" s="84"/>
      <c r="AG120" s="77"/>
    </row>
    <row r="121" spans="1:33" ht="15" customHeight="1" x14ac:dyDescent="0.25">
      <c r="A121" s="242">
        <v>119</v>
      </c>
      <c r="B121" s="78"/>
      <c r="C121" s="77"/>
      <c r="D121" s="79"/>
      <c r="E121" s="77"/>
      <c r="F121" s="77"/>
      <c r="G121" s="77"/>
      <c r="H121" s="77"/>
      <c r="I121" s="526"/>
      <c r="J121" s="526"/>
      <c r="K121" s="526"/>
      <c r="L121" s="526"/>
      <c r="M121" s="80"/>
      <c r="N121" s="526"/>
      <c r="O121" s="526"/>
      <c r="P121" s="80"/>
      <c r="Q121" s="526"/>
      <c r="R121" s="80"/>
      <c r="S121" s="526"/>
      <c r="T121" s="119" t="str">
        <f t="shared" si="10"/>
        <v xml:space="preserve"> </v>
      </c>
      <c r="U121" s="77"/>
      <c r="V121" s="77"/>
      <c r="W121" s="77"/>
      <c r="X121" s="79"/>
      <c r="Y121" s="245"/>
      <c r="Z121" s="82"/>
      <c r="AA121" s="77"/>
      <c r="AB121" s="77"/>
      <c r="AC121" s="77"/>
      <c r="AD121" s="82"/>
      <c r="AE121" s="599"/>
      <c r="AF121" s="81"/>
      <c r="AG121" s="77"/>
    </row>
    <row r="122" spans="1:33" ht="15" customHeight="1" x14ac:dyDescent="0.25">
      <c r="A122" s="244">
        <v>120</v>
      </c>
      <c r="B122" s="78"/>
      <c r="C122" s="77"/>
      <c r="D122" s="79"/>
      <c r="E122" s="77"/>
      <c r="F122" s="77"/>
      <c r="G122" s="77"/>
      <c r="H122" s="77"/>
      <c r="I122" s="526"/>
      <c r="J122" s="526"/>
      <c r="K122" s="526"/>
      <c r="L122" s="526"/>
      <c r="M122" s="80"/>
      <c r="N122" s="526"/>
      <c r="O122" s="526"/>
      <c r="P122" s="80"/>
      <c r="Q122" s="526"/>
      <c r="R122" s="80"/>
      <c r="S122" s="526"/>
      <c r="T122" s="119" t="str">
        <f t="shared" si="10"/>
        <v xml:space="preserve"> </v>
      </c>
      <c r="U122" s="77"/>
      <c r="V122" s="77"/>
      <c r="W122" s="77"/>
      <c r="X122" s="79"/>
      <c r="Y122" s="245"/>
      <c r="Z122" s="82"/>
      <c r="AA122" s="77"/>
      <c r="AB122" s="85"/>
      <c r="AC122" s="77"/>
      <c r="AD122" s="82"/>
      <c r="AE122" s="599"/>
      <c r="AF122" s="84"/>
      <c r="AG122" s="77"/>
    </row>
    <row r="123" spans="1:33" ht="15" customHeight="1" x14ac:dyDescent="0.25">
      <c r="A123" s="242">
        <v>121</v>
      </c>
      <c r="B123" s="78"/>
      <c r="C123" s="77"/>
      <c r="D123" s="79"/>
      <c r="E123" s="77"/>
      <c r="F123" s="77"/>
      <c r="G123" s="77"/>
      <c r="H123" s="77"/>
      <c r="I123" s="526"/>
      <c r="J123" s="526"/>
      <c r="K123" s="526"/>
      <c r="L123" s="526"/>
      <c r="M123" s="80"/>
      <c r="N123" s="526"/>
      <c r="O123" s="526"/>
      <c r="P123" s="80"/>
      <c r="Q123" s="526"/>
      <c r="R123" s="80"/>
      <c r="S123" s="526"/>
      <c r="T123" s="119" t="str">
        <f t="shared" ref="T123:T156" si="11">IF($I123&lt;=0, " ",IF($I123&lt;=0.25, "A",IF($I123&lt;10, "B",IF($I123&lt;100, "C", IF($I123&lt;300, "D",IF($I123&lt;1000, "E",IF($I123&lt;5000,"F",IF($I123&gt;=5000, "G"))))))))</f>
        <v xml:space="preserve"> </v>
      </c>
      <c r="U123" s="77"/>
      <c r="V123" s="77"/>
      <c r="W123" s="77"/>
      <c r="X123" s="79"/>
      <c r="Y123" s="245"/>
      <c r="Z123" s="82"/>
      <c r="AA123" s="77"/>
      <c r="AB123" s="77"/>
      <c r="AC123" s="77"/>
      <c r="AD123" s="82"/>
      <c r="AE123" s="599"/>
      <c r="AF123" s="81"/>
      <c r="AG123" s="77"/>
    </row>
    <row r="124" spans="1:33" ht="15" customHeight="1" x14ac:dyDescent="0.25">
      <c r="A124" s="244">
        <v>122</v>
      </c>
      <c r="B124" s="78"/>
      <c r="C124" s="77"/>
      <c r="D124" s="79"/>
      <c r="E124" s="77"/>
      <c r="F124" s="77"/>
      <c r="G124" s="77"/>
      <c r="H124" s="77"/>
      <c r="I124" s="526"/>
      <c r="J124" s="526"/>
      <c r="K124" s="526"/>
      <c r="L124" s="526"/>
      <c r="M124" s="80"/>
      <c r="N124" s="526"/>
      <c r="O124" s="526"/>
      <c r="P124" s="80"/>
      <c r="Q124" s="526"/>
      <c r="R124" s="80"/>
      <c r="S124" s="526"/>
      <c r="T124" s="119" t="str">
        <f t="shared" si="11"/>
        <v xml:space="preserve"> </v>
      </c>
      <c r="U124" s="77"/>
      <c r="V124" s="77"/>
      <c r="W124" s="77"/>
      <c r="X124" s="79"/>
      <c r="Y124" s="245"/>
      <c r="Z124" s="82"/>
      <c r="AA124" s="77"/>
      <c r="AB124" s="85"/>
      <c r="AC124" s="77"/>
      <c r="AD124" s="82"/>
      <c r="AE124" s="599"/>
      <c r="AF124" s="84"/>
      <c r="AG124" s="77"/>
    </row>
    <row r="125" spans="1:33" ht="15" customHeight="1" x14ac:dyDescent="0.25">
      <c r="A125" s="242">
        <v>123</v>
      </c>
      <c r="B125" s="78"/>
      <c r="C125" s="77"/>
      <c r="D125" s="79"/>
      <c r="E125" s="77"/>
      <c r="F125" s="77"/>
      <c r="G125" s="77"/>
      <c r="H125" s="77"/>
      <c r="I125" s="526"/>
      <c r="J125" s="526"/>
      <c r="K125" s="526"/>
      <c r="L125" s="526"/>
      <c r="M125" s="80"/>
      <c r="N125" s="526"/>
      <c r="O125" s="526"/>
      <c r="P125" s="80"/>
      <c r="Q125" s="526"/>
      <c r="R125" s="80"/>
      <c r="S125" s="526"/>
      <c r="T125" s="119" t="str">
        <f t="shared" si="11"/>
        <v xml:space="preserve"> </v>
      </c>
      <c r="U125" s="77"/>
      <c r="V125" s="77"/>
      <c r="W125" s="77"/>
      <c r="X125" s="79"/>
      <c r="Y125" s="245"/>
      <c r="Z125" s="82"/>
      <c r="AA125" s="77"/>
      <c r="AB125" s="77"/>
      <c r="AC125" s="77"/>
      <c r="AD125" s="82"/>
      <c r="AE125" s="599"/>
      <c r="AF125" s="81"/>
      <c r="AG125" s="77"/>
    </row>
    <row r="126" spans="1:33" ht="15" customHeight="1" x14ac:dyDescent="0.25">
      <c r="A126" s="244">
        <v>124</v>
      </c>
      <c r="B126" s="78"/>
      <c r="C126" s="77"/>
      <c r="D126" s="79"/>
      <c r="E126" s="77"/>
      <c r="F126" s="77"/>
      <c r="G126" s="77"/>
      <c r="H126" s="77"/>
      <c r="I126" s="526"/>
      <c r="J126" s="526"/>
      <c r="K126" s="526"/>
      <c r="L126" s="526"/>
      <c r="M126" s="80"/>
      <c r="N126" s="526"/>
      <c r="O126" s="526"/>
      <c r="P126" s="80"/>
      <c r="Q126" s="526"/>
      <c r="R126" s="80"/>
      <c r="S126" s="526"/>
      <c r="T126" s="119" t="str">
        <f t="shared" si="11"/>
        <v xml:space="preserve"> </v>
      </c>
      <c r="U126" s="77"/>
      <c r="V126" s="77"/>
      <c r="W126" s="77"/>
      <c r="X126" s="79"/>
      <c r="Y126" s="245"/>
      <c r="Z126" s="82"/>
      <c r="AA126" s="77"/>
      <c r="AB126" s="85"/>
      <c r="AC126" s="77"/>
      <c r="AD126" s="82"/>
      <c r="AE126" s="599"/>
      <c r="AF126" s="84"/>
      <c r="AG126" s="77"/>
    </row>
    <row r="127" spans="1:33" ht="15" customHeight="1" x14ac:dyDescent="0.25">
      <c r="A127" s="242">
        <v>125</v>
      </c>
      <c r="B127" s="78"/>
      <c r="C127" s="77"/>
      <c r="D127" s="79"/>
      <c r="E127" s="77"/>
      <c r="F127" s="77"/>
      <c r="G127" s="77"/>
      <c r="H127" s="77"/>
      <c r="I127" s="526"/>
      <c r="J127" s="526"/>
      <c r="K127" s="526"/>
      <c r="L127" s="526"/>
      <c r="M127" s="80"/>
      <c r="N127" s="526"/>
      <c r="O127" s="526"/>
      <c r="P127" s="80"/>
      <c r="Q127" s="526"/>
      <c r="R127" s="80"/>
      <c r="S127" s="526"/>
      <c r="T127" s="119" t="str">
        <f t="shared" si="11"/>
        <v xml:space="preserve"> </v>
      </c>
      <c r="U127" s="77"/>
      <c r="V127" s="77"/>
      <c r="W127" s="77"/>
      <c r="X127" s="79"/>
      <c r="Y127" s="245"/>
      <c r="Z127" s="82"/>
      <c r="AA127" s="77"/>
      <c r="AB127" s="77"/>
      <c r="AC127" s="77"/>
      <c r="AD127" s="82"/>
      <c r="AE127" s="599"/>
      <c r="AF127" s="81"/>
      <c r="AG127" s="77"/>
    </row>
    <row r="128" spans="1:33" ht="15" customHeight="1" x14ac:dyDescent="0.25">
      <c r="A128" s="244">
        <v>126</v>
      </c>
      <c r="B128" s="78"/>
      <c r="C128" s="77"/>
      <c r="D128" s="79"/>
      <c r="E128" s="77"/>
      <c r="F128" s="77"/>
      <c r="G128" s="77"/>
      <c r="H128" s="77"/>
      <c r="I128" s="526"/>
      <c r="J128" s="526"/>
      <c r="K128" s="526"/>
      <c r="L128" s="526"/>
      <c r="M128" s="80"/>
      <c r="N128" s="526"/>
      <c r="O128" s="526"/>
      <c r="P128" s="80"/>
      <c r="Q128" s="526"/>
      <c r="R128" s="80"/>
      <c r="S128" s="526"/>
      <c r="T128" s="119" t="str">
        <f t="shared" si="11"/>
        <v xml:space="preserve"> </v>
      </c>
      <c r="U128" s="77"/>
      <c r="V128" s="77"/>
      <c r="W128" s="77"/>
      <c r="X128" s="79"/>
      <c r="Y128" s="245"/>
      <c r="Z128" s="82"/>
      <c r="AA128" s="77"/>
      <c r="AB128" s="85"/>
      <c r="AC128" s="77"/>
      <c r="AD128" s="82"/>
      <c r="AE128" s="599"/>
      <c r="AF128" s="84"/>
      <c r="AG128" s="77"/>
    </row>
    <row r="129" spans="1:33" ht="15" customHeight="1" x14ac:dyDescent="0.25">
      <c r="A129" s="242">
        <v>127</v>
      </c>
      <c r="B129" s="78"/>
      <c r="C129" s="77"/>
      <c r="D129" s="79"/>
      <c r="E129" s="77"/>
      <c r="F129" s="77"/>
      <c r="G129" s="77"/>
      <c r="H129" s="77"/>
      <c r="I129" s="526"/>
      <c r="J129" s="526"/>
      <c r="K129" s="526"/>
      <c r="L129" s="526"/>
      <c r="M129" s="80"/>
      <c r="N129" s="526"/>
      <c r="O129" s="526"/>
      <c r="P129" s="80"/>
      <c r="Q129" s="526"/>
      <c r="R129" s="80"/>
      <c r="S129" s="526"/>
      <c r="T129" s="119" t="str">
        <f t="shared" si="11"/>
        <v xml:space="preserve"> </v>
      </c>
      <c r="U129" s="77"/>
      <c r="V129" s="77"/>
      <c r="W129" s="77"/>
      <c r="X129" s="79"/>
      <c r="Y129" s="245"/>
      <c r="Z129" s="82"/>
      <c r="AA129" s="77"/>
      <c r="AB129" s="77"/>
      <c r="AC129" s="77"/>
      <c r="AD129" s="82"/>
      <c r="AE129" s="599"/>
      <c r="AF129" s="81"/>
      <c r="AG129" s="77"/>
    </row>
    <row r="130" spans="1:33" ht="15" customHeight="1" x14ac:dyDescent="0.25">
      <c r="A130" s="244">
        <v>128</v>
      </c>
      <c r="B130" s="78"/>
      <c r="C130" s="77"/>
      <c r="D130" s="79"/>
      <c r="E130" s="77"/>
      <c r="F130" s="77"/>
      <c r="G130" s="77"/>
      <c r="H130" s="77"/>
      <c r="I130" s="526"/>
      <c r="J130" s="526"/>
      <c r="K130" s="526"/>
      <c r="L130" s="526"/>
      <c r="M130" s="80"/>
      <c r="N130" s="526"/>
      <c r="O130" s="526"/>
      <c r="P130" s="80"/>
      <c r="Q130" s="526"/>
      <c r="R130" s="80"/>
      <c r="S130" s="526"/>
      <c r="T130" s="119" t="str">
        <f t="shared" si="11"/>
        <v xml:space="preserve"> </v>
      </c>
      <c r="U130" s="77"/>
      <c r="V130" s="77"/>
      <c r="W130" s="77"/>
      <c r="X130" s="79"/>
      <c r="Y130" s="245"/>
      <c r="Z130" s="82"/>
      <c r="AA130" s="77"/>
      <c r="AB130" s="85"/>
      <c r="AC130" s="77"/>
      <c r="AD130" s="82"/>
      <c r="AE130" s="599"/>
      <c r="AF130" s="84"/>
      <c r="AG130" s="77"/>
    </row>
    <row r="131" spans="1:33" ht="15" customHeight="1" x14ac:dyDescent="0.25">
      <c r="A131" s="242">
        <v>129</v>
      </c>
      <c r="B131" s="78"/>
      <c r="C131" s="77"/>
      <c r="D131" s="79"/>
      <c r="E131" s="77"/>
      <c r="F131" s="77"/>
      <c r="G131" s="77"/>
      <c r="H131" s="77"/>
      <c r="I131" s="526"/>
      <c r="J131" s="526"/>
      <c r="K131" s="526"/>
      <c r="L131" s="526"/>
      <c r="M131" s="80"/>
      <c r="N131" s="526"/>
      <c r="O131" s="526"/>
      <c r="P131" s="80"/>
      <c r="Q131" s="526"/>
      <c r="R131" s="80"/>
      <c r="S131" s="526"/>
      <c r="T131" s="119" t="str">
        <f t="shared" si="11"/>
        <v xml:space="preserve"> </v>
      </c>
      <c r="U131" s="77"/>
      <c r="V131" s="77"/>
      <c r="W131" s="77"/>
      <c r="X131" s="79"/>
      <c r="Y131" s="245"/>
      <c r="Z131" s="82"/>
      <c r="AA131" s="77"/>
      <c r="AB131" s="77"/>
      <c r="AC131" s="77"/>
      <c r="AD131" s="82"/>
      <c r="AE131" s="599"/>
      <c r="AF131" s="81"/>
      <c r="AG131" s="77"/>
    </row>
    <row r="132" spans="1:33" ht="15" customHeight="1" x14ac:dyDescent="0.25">
      <c r="A132" s="244">
        <v>130</v>
      </c>
      <c r="B132" s="78"/>
      <c r="C132" s="77"/>
      <c r="D132" s="79"/>
      <c r="E132" s="77"/>
      <c r="F132" s="77"/>
      <c r="G132" s="77"/>
      <c r="H132" s="77"/>
      <c r="I132" s="526"/>
      <c r="J132" s="526"/>
      <c r="K132" s="526"/>
      <c r="L132" s="526"/>
      <c r="M132" s="80"/>
      <c r="N132" s="526"/>
      <c r="O132" s="526"/>
      <c r="P132" s="80"/>
      <c r="Q132" s="526"/>
      <c r="R132" s="80"/>
      <c r="S132" s="526"/>
      <c r="T132" s="119" t="str">
        <f t="shared" si="11"/>
        <v xml:space="preserve"> </v>
      </c>
      <c r="U132" s="77"/>
      <c r="V132" s="77"/>
      <c r="W132" s="77"/>
      <c r="X132" s="79"/>
      <c r="Y132" s="245"/>
      <c r="Z132" s="82"/>
      <c r="AA132" s="77"/>
      <c r="AB132" s="85"/>
      <c r="AC132" s="77"/>
      <c r="AD132" s="82"/>
      <c r="AE132" s="599"/>
      <c r="AF132" s="84"/>
      <c r="AG132" s="77"/>
    </row>
    <row r="133" spans="1:33" ht="15" customHeight="1" x14ac:dyDescent="0.25">
      <c r="A133" s="242">
        <v>131</v>
      </c>
      <c r="B133" s="78"/>
      <c r="C133" s="77"/>
      <c r="D133" s="79"/>
      <c r="E133" s="77"/>
      <c r="F133" s="77"/>
      <c r="G133" s="77"/>
      <c r="H133" s="77"/>
      <c r="I133" s="526"/>
      <c r="J133" s="526"/>
      <c r="K133" s="526"/>
      <c r="L133" s="526"/>
      <c r="M133" s="80"/>
      <c r="N133" s="526"/>
      <c r="O133" s="526"/>
      <c r="P133" s="80"/>
      <c r="Q133" s="526"/>
      <c r="R133" s="80"/>
      <c r="S133" s="526"/>
      <c r="T133" s="119" t="str">
        <f t="shared" si="11"/>
        <v xml:space="preserve"> </v>
      </c>
      <c r="U133" s="77"/>
      <c r="V133" s="77"/>
      <c r="W133" s="77"/>
      <c r="X133" s="79"/>
      <c r="Y133" s="245"/>
      <c r="Z133" s="82"/>
      <c r="AA133" s="77"/>
      <c r="AB133" s="77"/>
      <c r="AC133" s="77"/>
      <c r="AD133" s="82"/>
      <c r="AE133" s="599"/>
      <c r="AF133" s="81"/>
      <c r="AG133" s="77"/>
    </row>
    <row r="134" spans="1:33" ht="15" customHeight="1" x14ac:dyDescent="0.25">
      <c r="A134" s="244">
        <v>132</v>
      </c>
      <c r="B134" s="78"/>
      <c r="C134" s="77"/>
      <c r="D134" s="79"/>
      <c r="E134" s="77"/>
      <c r="F134" s="77"/>
      <c r="G134" s="77"/>
      <c r="H134" s="77"/>
      <c r="I134" s="526"/>
      <c r="J134" s="526"/>
      <c r="K134" s="526"/>
      <c r="L134" s="526"/>
      <c r="M134" s="80"/>
      <c r="N134" s="526"/>
      <c r="O134" s="526"/>
      <c r="P134" s="80"/>
      <c r="Q134" s="526"/>
      <c r="R134" s="80"/>
      <c r="S134" s="526"/>
      <c r="T134" s="119" t="str">
        <f t="shared" si="11"/>
        <v xml:space="preserve"> </v>
      </c>
      <c r="U134" s="77"/>
      <c r="V134" s="77"/>
      <c r="W134" s="77"/>
      <c r="X134" s="79"/>
      <c r="Y134" s="245"/>
      <c r="Z134" s="82"/>
      <c r="AA134" s="77"/>
      <c r="AB134" s="85"/>
      <c r="AC134" s="77"/>
      <c r="AD134" s="82"/>
      <c r="AE134" s="599"/>
      <c r="AF134" s="84"/>
      <c r="AG134" s="77"/>
    </row>
    <row r="135" spans="1:33" ht="15" customHeight="1" x14ac:dyDescent="0.25">
      <c r="A135" s="242">
        <v>133</v>
      </c>
      <c r="B135" s="78"/>
      <c r="C135" s="77"/>
      <c r="D135" s="79"/>
      <c r="E135" s="77"/>
      <c r="F135" s="77"/>
      <c r="G135" s="77"/>
      <c r="H135" s="77"/>
      <c r="I135" s="526"/>
      <c r="J135" s="526"/>
      <c r="K135" s="526"/>
      <c r="L135" s="526"/>
      <c r="M135" s="80"/>
      <c r="N135" s="526"/>
      <c r="O135" s="526"/>
      <c r="P135" s="80"/>
      <c r="Q135" s="526"/>
      <c r="R135" s="80"/>
      <c r="S135" s="526"/>
      <c r="T135" s="119" t="str">
        <f t="shared" si="11"/>
        <v xml:space="preserve"> </v>
      </c>
      <c r="U135" s="77"/>
      <c r="V135" s="77"/>
      <c r="W135" s="77"/>
      <c r="X135" s="79"/>
      <c r="Y135" s="245"/>
      <c r="Z135" s="82"/>
      <c r="AA135" s="77"/>
      <c r="AB135" s="77"/>
      <c r="AC135" s="77"/>
      <c r="AD135" s="82"/>
      <c r="AE135" s="599"/>
      <c r="AF135" s="81"/>
      <c r="AG135" s="77"/>
    </row>
    <row r="136" spans="1:33" ht="15" customHeight="1" x14ac:dyDescent="0.25">
      <c r="A136" s="244">
        <v>134</v>
      </c>
      <c r="B136" s="78"/>
      <c r="C136" s="77"/>
      <c r="D136" s="79"/>
      <c r="E136" s="77"/>
      <c r="F136" s="77"/>
      <c r="G136" s="77"/>
      <c r="H136" s="77"/>
      <c r="I136" s="526"/>
      <c r="J136" s="526"/>
      <c r="K136" s="526"/>
      <c r="L136" s="526"/>
      <c r="M136" s="80"/>
      <c r="N136" s="526"/>
      <c r="O136" s="526"/>
      <c r="P136" s="80"/>
      <c r="Q136" s="526"/>
      <c r="R136" s="80"/>
      <c r="S136" s="526"/>
      <c r="T136" s="119" t="str">
        <f t="shared" si="11"/>
        <v xml:space="preserve"> </v>
      </c>
      <c r="U136" s="77"/>
      <c r="V136" s="77"/>
      <c r="W136" s="77"/>
      <c r="X136" s="79"/>
      <c r="Y136" s="245"/>
      <c r="Z136" s="82"/>
      <c r="AA136" s="77"/>
      <c r="AB136" s="85"/>
      <c r="AC136" s="77"/>
      <c r="AD136" s="82"/>
      <c r="AE136" s="599"/>
      <c r="AF136" s="84"/>
      <c r="AG136" s="77"/>
    </row>
    <row r="137" spans="1:33" ht="15" customHeight="1" x14ac:dyDescent="0.25">
      <c r="A137" s="242">
        <v>135</v>
      </c>
      <c r="B137" s="78"/>
      <c r="C137" s="77"/>
      <c r="D137" s="79"/>
      <c r="E137" s="77"/>
      <c r="F137" s="77"/>
      <c r="G137" s="77"/>
      <c r="H137" s="77"/>
      <c r="I137" s="526"/>
      <c r="J137" s="526"/>
      <c r="K137" s="526"/>
      <c r="L137" s="526"/>
      <c r="M137" s="80"/>
      <c r="N137" s="526"/>
      <c r="O137" s="526"/>
      <c r="P137" s="80"/>
      <c r="Q137" s="526"/>
      <c r="R137" s="80"/>
      <c r="S137" s="526"/>
      <c r="T137" s="119" t="str">
        <f t="shared" si="11"/>
        <v xml:space="preserve"> </v>
      </c>
      <c r="U137" s="77"/>
      <c r="V137" s="77"/>
      <c r="W137" s="77"/>
      <c r="X137" s="79"/>
      <c r="Y137" s="245"/>
      <c r="Z137" s="82"/>
      <c r="AA137" s="77"/>
      <c r="AB137" s="77"/>
      <c r="AC137" s="77"/>
      <c r="AD137" s="82"/>
      <c r="AE137" s="599"/>
      <c r="AF137" s="81"/>
      <c r="AG137" s="77"/>
    </row>
    <row r="138" spans="1:33" ht="15" customHeight="1" x14ac:dyDescent="0.25">
      <c r="A138" s="244">
        <v>136</v>
      </c>
      <c r="B138" s="78"/>
      <c r="C138" s="77"/>
      <c r="D138" s="79"/>
      <c r="E138" s="77"/>
      <c r="F138" s="77"/>
      <c r="G138" s="77"/>
      <c r="H138" s="77"/>
      <c r="I138" s="526"/>
      <c r="J138" s="526"/>
      <c r="K138" s="526"/>
      <c r="L138" s="526"/>
      <c r="M138" s="80"/>
      <c r="N138" s="526"/>
      <c r="O138" s="526"/>
      <c r="P138" s="80"/>
      <c r="Q138" s="526"/>
      <c r="R138" s="80"/>
      <c r="S138" s="526"/>
      <c r="T138" s="119" t="str">
        <f t="shared" si="11"/>
        <v xml:space="preserve"> </v>
      </c>
      <c r="U138" s="77"/>
      <c r="V138" s="77"/>
      <c r="W138" s="77"/>
      <c r="X138" s="79"/>
      <c r="Y138" s="245"/>
      <c r="Z138" s="82"/>
      <c r="AA138" s="77"/>
      <c r="AB138" s="85"/>
      <c r="AC138" s="77"/>
      <c r="AD138" s="82"/>
      <c r="AE138" s="599"/>
      <c r="AF138" s="84"/>
      <c r="AG138" s="77"/>
    </row>
    <row r="139" spans="1:33" ht="15" customHeight="1" x14ac:dyDescent="0.25">
      <c r="A139" s="242">
        <v>137</v>
      </c>
      <c r="B139" s="78"/>
      <c r="C139" s="77"/>
      <c r="D139" s="79"/>
      <c r="E139" s="77"/>
      <c r="F139" s="77"/>
      <c r="G139" s="77"/>
      <c r="H139" s="77"/>
      <c r="I139" s="526"/>
      <c r="J139" s="526"/>
      <c r="K139" s="526"/>
      <c r="L139" s="526"/>
      <c r="M139" s="80"/>
      <c r="N139" s="526"/>
      <c r="O139" s="526"/>
      <c r="P139" s="80"/>
      <c r="Q139" s="526"/>
      <c r="R139" s="80"/>
      <c r="S139" s="526"/>
      <c r="T139" s="119" t="str">
        <f t="shared" si="11"/>
        <v xml:space="preserve"> </v>
      </c>
      <c r="U139" s="77"/>
      <c r="V139" s="77"/>
      <c r="W139" s="77"/>
      <c r="X139" s="79"/>
      <c r="Y139" s="245"/>
      <c r="Z139" s="82"/>
      <c r="AA139" s="77"/>
      <c r="AB139" s="77"/>
      <c r="AC139" s="77"/>
      <c r="AD139" s="82"/>
      <c r="AE139" s="599"/>
      <c r="AF139" s="81"/>
      <c r="AG139" s="77"/>
    </row>
    <row r="140" spans="1:33" ht="15" customHeight="1" x14ac:dyDescent="0.25">
      <c r="A140" s="244">
        <v>138</v>
      </c>
      <c r="B140" s="78"/>
      <c r="C140" s="77"/>
      <c r="D140" s="79"/>
      <c r="E140" s="77"/>
      <c r="F140" s="77"/>
      <c r="G140" s="77"/>
      <c r="H140" s="77"/>
      <c r="I140" s="526"/>
      <c r="J140" s="526"/>
      <c r="K140" s="526"/>
      <c r="L140" s="526"/>
      <c r="M140" s="80"/>
      <c r="N140" s="526"/>
      <c r="O140" s="526"/>
      <c r="P140" s="80"/>
      <c r="Q140" s="526"/>
      <c r="R140" s="80"/>
      <c r="S140" s="526"/>
      <c r="T140" s="119" t="str">
        <f t="shared" si="11"/>
        <v xml:space="preserve"> </v>
      </c>
      <c r="U140" s="77"/>
      <c r="V140" s="77"/>
      <c r="W140" s="77"/>
      <c r="X140" s="79"/>
      <c r="Y140" s="245"/>
      <c r="Z140" s="82"/>
      <c r="AA140" s="77"/>
      <c r="AB140" s="85"/>
      <c r="AC140" s="77"/>
      <c r="AD140" s="82"/>
      <c r="AE140" s="599"/>
      <c r="AF140" s="84"/>
      <c r="AG140" s="77"/>
    </row>
    <row r="141" spans="1:33" ht="15" customHeight="1" x14ac:dyDescent="0.25">
      <c r="A141" s="242">
        <v>139</v>
      </c>
      <c r="B141" s="78"/>
      <c r="C141" s="77"/>
      <c r="D141" s="79"/>
      <c r="E141" s="77"/>
      <c r="F141" s="77"/>
      <c r="G141" s="77"/>
      <c r="H141" s="77"/>
      <c r="I141" s="526"/>
      <c r="J141" s="526"/>
      <c r="K141" s="526"/>
      <c r="L141" s="526"/>
      <c r="M141" s="80"/>
      <c r="N141" s="526"/>
      <c r="O141" s="526"/>
      <c r="P141" s="80"/>
      <c r="Q141" s="526"/>
      <c r="R141" s="80"/>
      <c r="S141" s="526"/>
      <c r="T141" s="119" t="str">
        <f t="shared" si="11"/>
        <v xml:space="preserve"> </v>
      </c>
      <c r="U141" s="77"/>
      <c r="V141" s="77"/>
      <c r="W141" s="77"/>
      <c r="X141" s="79"/>
      <c r="Y141" s="245"/>
      <c r="Z141" s="82"/>
      <c r="AA141" s="77"/>
      <c r="AB141" s="77"/>
      <c r="AC141" s="77"/>
      <c r="AD141" s="82"/>
      <c r="AE141" s="599"/>
      <c r="AF141" s="81"/>
      <c r="AG141" s="77"/>
    </row>
    <row r="142" spans="1:33" ht="15" customHeight="1" x14ac:dyDescent="0.25">
      <c r="A142" s="244">
        <v>140</v>
      </c>
      <c r="B142" s="78"/>
      <c r="C142" s="77"/>
      <c r="D142" s="79"/>
      <c r="E142" s="77"/>
      <c r="F142" s="77"/>
      <c r="G142" s="77"/>
      <c r="H142" s="77"/>
      <c r="I142" s="526"/>
      <c r="J142" s="526"/>
      <c r="K142" s="526"/>
      <c r="L142" s="526"/>
      <c r="M142" s="80"/>
      <c r="N142" s="526"/>
      <c r="O142" s="526"/>
      <c r="P142" s="80"/>
      <c r="Q142" s="526"/>
      <c r="R142" s="80"/>
      <c r="S142" s="526"/>
      <c r="T142" s="119" t="str">
        <f t="shared" si="11"/>
        <v xml:space="preserve"> </v>
      </c>
      <c r="U142" s="77"/>
      <c r="V142" s="77"/>
      <c r="W142" s="77"/>
      <c r="X142" s="79"/>
      <c r="Y142" s="245"/>
      <c r="Z142" s="82"/>
      <c r="AA142" s="77"/>
      <c r="AB142" s="85"/>
      <c r="AC142" s="77"/>
      <c r="AD142" s="82"/>
      <c r="AE142" s="599"/>
      <c r="AF142" s="84"/>
      <c r="AG142" s="77"/>
    </row>
    <row r="143" spans="1:33" ht="15" customHeight="1" x14ac:dyDescent="0.25">
      <c r="A143" s="242">
        <v>141</v>
      </c>
      <c r="B143" s="78"/>
      <c r="C143" s="77"/>
      <c r="D143" s="79"/>
      <c r="E143" s="77"/>
      <c r="F143" s="77"/>
      <c r="G143" s="77"/>
      <c r="H143" s="77"/>
      <c r="I143" s="526"/>
      <c r="J143" s="526"/>
      <c r="K143" s="526"/>
      <c r="L143" s="526"/>
      <c r="M143" s="80"/>
      <c r="N143" s="526"/>
      <c r="O143" s="526"/>
      <c r="P143" s="80"/>
      <c r="Q143" s="526"/>
      <c r="R143" s="80"/>
      <c r="S143" s="526"/>
      <c r="T143" s="119" t="str">
        <f t="shared" si="11"/>
        <v xml:space="preserve"> </v>
      </c>
      <c r="U143" s="77"/>
      <c r="V143" s="77"/>
      <c r="W143" s="77"/>
      <c r="X143" s="79"/>
      <c r="Y143" s="245"/>
      <c r="Z143" s="82"/>
      <c r="AA143" s="77"/>
      <c r="AB143" s="77"/>
      <c r="AC143" s="77"/>
      <c r="AD143" s="82"/>
      <c r="AE143" s="599"/>
      <c r="AF143" s="81"/>
      <c r="AG143" s="77"/>
    </row>
    <row r="144" spans="1:33" ht="15" customHeight="1" x14ac:dyDescent="0.25">
      <c r="A144" s="244">
        <v>142</v>
      </c>
      <c r="B144" s="78"/>
      <c r="C144" s="77"/>
      <c r="D144" s="79"/>
      <c r="E144" s="77"/>
      <c r="F144" s="77"/>
      <c r="G144" s="77"/>
      <c r="H144" s="77"/>
      <c r="I144" s="526"/>
      <c r="J144" s="526"/>
      <c r="K144" s="526"/>
      <c r="L144" s="526"/>
      <c r="M144" s="80"/>
      <c r="N144" s="526"/>
      <c r="O144" s="526"/>
      <c r="P144" s="80"/>
      <c r="Q144" s="526"/>
      <c r="R144" s="80"/>
      <c r="S144" s="526"/>
      <c r="T144" s="119" t="str">
        <f t="shared" si="11"/>
        <v xml:space="preserve"> </v>
      </c>
      <c r="U144" s="77"/>
      <c r="V144" s="77"/>
      <c r="W144" s="77"/>
      <c r="X144" s="79"/>
      <c r="Y144" s="245"/>
      <c r="Z144" s="82"/>
      <c r="AA144" s="77"/>
      <c r="AB144" s="85"/>
      <c r="AC144" s="77"/>
      <c r="AD144" s="82"/>
      <c r="AE144" s="599"/>
      <c r="AF144" s="84"/>
      <c r="AG144" s="77"/>
    </row>
    <row r="145" spans="1:33" ht="15" customHeight="1" x14ac:dyDescent="0.25">
      <c r="A145" s="242">
        <v>143</v>
      </c>
      <c r="B145" s="78"/>
      <c r="C145" s="77"/>
      <c r="D145" s="79"/>
      <c r="E145" s="77"/>
      <c r="F145" s="77"/>
      <c r="G145" s="77"/>
      <c r="H145" s="77"/>
      <c r="I145" s="526"/>
      <c r="J145" s="526"/>
      <c r="K145" s="526"/>
      <c r="L145" s="526"/>
      <c r="M145" s="80"/>
      <c r="N145" s="526"/>
      <c r="O145" s="526"/>
      <c r="P145" s="80"/>
      <c r="Q145" s="526"/>
      <c r="R145" s="80"/>
      <c r="S145" s="526"/>
      <c r="T145" s="119" t="str">
        <f t="shared" si="11"/>
        <v xml:space="preserve"> </v>
      </c>
      <c r="U145" s="77"/>
      <c r="V145" s="77"/>
      <c r="W145" s="77"/>
      <c r="X145" s="79"/>
      <c r="Y145" s="245"/>
      <c r="Z145" s="82"/>
      <c r="AA145" s="77"/>
      <c r="AB145" s="77"/>
      <c r="AC145" s="77"/>
      <c r="AD145" s="82"/>
      <c r="AE145" s="599"/>
      <c r="AF145" s="81"/>
      <c r="AG145" s="77"/>
    </row>
    <row r="146" spans="1:33" ht="15" customHeight="1" x14ac:dyDescent="0.25">
      <c r="A146" s="244">
        <v>144</v>
      </c>
      <c r="B146" s="78"/>
      <c r="C146" s="77"/>
      <c r="D146" s="79"/>
      <c r="E146" s="77"/>
      <c r="F146" s="77"/>
      <c r="G146" s="77"/>
      <c r="H146" s="77"/>
      <c r="I146" s="526"/>
      <c r="J146" s="526"/>
      <c r="K146" s="526"/>
      <c r="L146" s="526"/>
      <c r="M146" s="80"/>
      <c r="N146" s="526"/>
      <c r="O146" s="526"/>
      <c r="P146" s="80"/>
      <c r="Q146" s="526"/>
      <c r="R146" s="80"/>
      <c r="S146" s="526"/>
      <c r="T146" s="119" t="str">
        <f t="shared" si="11"/>
        <v xml:space="preserve"> </v>
      </c>
      <c r="U146" s="77"/>
      <c r="V146" s="77"/>
      <c r="W146" s="77"/>
      <c r="X146" s="79"/>
      <c r="Y146" s="245"/>
      <c r="Z146" s="82"/>
      <c r="AA146" s="77"/>
      <c r="AB146" s="85"/>
      <c r="AC146" s="77"/>
      <c r="AD146" s="82"/>
      <c r="AE146" s="599"/>
      <c r="AF146" s="84"/>
      <c r="AG146" s="77"/>
    </row>
    <row r="147" spans="1:33" ht="15" customHeight="1" x14ac:dyDescent="0.25">
      <c r="A147" s="242">
        <v>145</v>
      </c>
      <c r="B147" s="78"/>
      <c r="C147" s="77"/>
      <c r="D147" s="79"/>
      <c r="E147" s="77"/>
      <c r="F147" s="77"/>
      <c r="G147" s="77"/>
      <c r="H147" s="77"/>
      <c r="I147" s="526"/>
      <c r="J147" s="526"/>
      <c r="K147" s="526"/>
      <c r="L147" s="526"/>
      <c r="M147" s="80"/>
      <c r="N147" s="526"/>
      <c r="O147" s="526"/>
      <c r="P147" s="80"/>
      <c r="Q147" s="526"/>
      <c r="R147" s="80"/>
      <c r="S147" s="526"/>
      <c r="T147" s="119" t="str">
        <f t="shared" si="11"/>
        <v xml:space="preserve"> </v>
      </c>
      <c r="U147" s="77"/>
      <c r="V147" s="77"/>
      <c r="W147" s="77"/>
      <c r="X147" s="79"/>
      <c r="Y147" s="245"/>
      <c r="Z147" s="82"/>
      <c r="AA147" s="77"/>
      <c r="AB147" s="77"/>
      <c r="AC147" s="77"/>
      <c r="AD147" s="82"/>
      <c r="AE147" s="599"/>
      <c r="AF147" s="81"/>
      <c r="AG147" s="77"/>
    </row>
    <row r="148" spans="1:33" ht="15" customHeight="1" x14ac:dyDescent="0.25">
      <c r="A148" s="244">
        <v>146</v>
      </c>
      <c r="B148" s="78"/>
      <c r="C148" s="77"/>
      <c r="D148" s="79"/>
      <c r="E148" s="77"/>
      <c r="F148" s="77"/>
      <c r="G148" s="77"/>
      <c r="H148" s="77"/>
      <c r="I148" s="526"/>
      <c r="J148" s="526"/>
      <c r="K148" s="526"/>
      <c r="L148" s="526"/>
      <c r="M148" s="80"/>
      <c r="N148" s="526"/>
      <c r="O148" s="526"/>
      <c r="P148" s="80"/>
      <c r="Q148" s="526"/>
      <c r="R148" s="80"/>
      <c r="S148" s="526"/>
      <c r="T148" s="119" t="str">
        <f t="shared" si="11"/>
        <v xml:space="preserve"> </v>
      </c>
      <c r="U148" s="77"/>
      <c r="V148" s="77"/>
      <c r="W148" s="77"/>
      <c r="X148" s="79"/>
      <c r="Y148" s="245"/>
      <c r="Z148" s="82"/>
      <c r="AA148" s="77"/>
      <c r="AB148" s="85"/>
      <c r="AC148" s="77"/>
      <c r="AD148" s="82"/>
      <c r="AE148" s="599"/>
      <c r="AF148" s="84"/>
      <c r="AG148" s="77"/>
    </row>
    <row r="149" spans="1:33" ht="15" customHeight="1" x14ac:dyDescent="0.25">
      <c r="A149" s="242">
        <v>147</v>
      </c>
      <c r="B149" s="78"/>
      <c r="C149" s="77"/>
      <c r="D149" s="79"/>
      <c r="E149" s="77"/>
      <c r="F149" s="77"/>
      <c r="G149" s="77"/>
      <c r="H149" s="77"/>
      <c r="I149" s="526"/>
      <c r="J149" s="526"/>
      <c r="K149" s="526"/>
      <c r="L149" s="526"/>
      <c r="M149" s="80"/>
      <c r="N149" s="526"/>
      <c r="O149" s="526"/>
      <c r="P149" s="80"/>
      <c r="Q149" s="526"/>
      <c r="R149" s="80"/>
      <c r="S149" s="526"/>
      <c r="T149" s="119" t="str">
        <f t="shared" si="11"/>
        <v xml:space="preserve"> </v>
      </c>
      <c r="U149" s="77"/>
      <c r="V149" s="77"/>
      <c r="W149" s="77"/>
      <c r="X149" s="79"/>
      <c r="Y149" s="245"/>
      <c r="Z149" s="82"/>
      <c r="AA149" s="77"/>
      <c r="AB149" s="77"/>
      <c r="AC149" s="77"/>
      <c r="AD149" s="82"/>
      <c r="AE149" s="599"/>
      <c r="AF149" s="81"/>
      <c r="AG149" s="77"/>
    </row>
    <row r="150" spans="1:33" ht="15" customHeight="1" x14ac:dyDescent="0.25">
      <c r="A150" s="244">
        <v>148</v>
      </c>
      <c r="B150" s="78"/>
      <c r="C150" s="77"/>
      <c r="D150" s="79"/>
      <c r="E150" s="77"/>
      <c r="F150" s="77"/>
      <c r="G150" s="77"/>
      <c r="H150" s="77"/>
      <c r="I150" s="526"/>
      <c r="J150" s="526"/>
      <c r="K150" s="526"/>
      <c r="L150" s="526"/>
      <c r="M150" s="80"/>
      <c r="N150" s="526"/>
      <c r="O150" s="526"/>
      <c r="P150" s="80"/>
      <c r="Q150" s="526"/>
      <c r="R150" s="80"/>
      <c r="S150" s="526"/>
      <c r="T150" s="119" t="str">
        <f t="shared" si="11"/>
        <v xml:space="preserve"> </v>
      </c>
      <c r="U150" s="77"/>
      <c r="V150" s="77"/>
      <c r="W150" s="77"/>
      <c r="X150" s="79"/>
      <c r="Y150" s="245"/>
      <c r="Z150" s="82"/>
      <c r="AA150" s="77"/>
      <c r="AB150" s="85"/>
      <c r="AC150" s="77"/>
      <c r="AD150" s="82"/>
      <c r="AE150" s="599"/>
      <c r="AF150" s="84"/>
      <c r="AG150" s="77"/>
    </row>
    <row r="151" spans="1:33" ht="15" customHeight="1" x14ac:dyDescent="0.25">
      <c r="A151" s="242">
        <v>149</v>
      </c>
      <c r="B151" s="78"/>
      <c r="C151" s="77"/>
      <c r="D151" s="79"/>
      <c r="E151" s="77"/>
      <c r="F151" s="77"/>
      <c r="G151" s="77"/>
      <c r="H151" s="77"/>
      <c r="I151" s="526"/>
      <c r="J151" s="526"/>
      <c r="K151" s="526"/>
      <c r="L151" s="526"/>
      <c r="M151" s="80"/>
      <c r="N151" s="526"/>
      <c r="O151" s="526"/>
      <c r="P151" s="80"/>
      <c r="Q151" s="526"/>
      <c r="R151" s="80"/>
      <c r="S151" s="526"/>
      <c r="T151" s="119" t="str">
        <f t="shared" si="11"/>
        <v xml:space="preserve"> </v>
      </c>
      <c r="U151" s="77"/>
      <c r="V151" s="77"/>
      <c r="W151" s="77"/>
      <c r="X151" s="79"/>
      <c r="Y151" s="245"/>
      <c r="Z151" s="82"/>
      <c r="AA151" s="77"/>
      <c r="AB151" s="77"/>
      <c r="AC151" s="77"/>
      <c r="AD151" s="82"/>
      <c r="AE151" s="599"/>
      <c r="AF151" s="81"/>
      <c r="AG151" s="77"/>
    </row>
    <row r="152" spans="1:33" ht="15" customHeight="1" x14ac:dyDescent="0.25">
      <c r="A152" s="244">
        <v>150</v>
      </c>
      <c r="B152" s="78"/>
      <c r="C152" s="77"/>
      <c r="D152" s="79"/>
      <c r="E152" s="77"/>
      <c r="F152" s="77"/>
      <c r="G152" s="77"/>
      <c r="H152" s="77"/>
      <c r="I152" s="526"/>
      <c r="J152" s="526"/>
      <c r="K152" s="526"/>
      <c r="L152" s="526"/>
      <c r="M152" s="80"/>
      <c r="N152" s="526"/>
      <c r="O152" s="526"/>
      <c r="P152" s="80"/>
      <c r="Q152" s="526"/>
      <c r="R152" s="80"/>
      <c r="S152" s="526"/>
      <c r="T152" s="119" t="str">
        <f t="shared" si="11"/>
        <v xml:space="preserve"> </v>
      </c>
      <c r="U152" s="77"/>
      <c r="V152" s="77"/>
      <c r="W152" s="77"/>
      <c r="X152" s="79"/>
      <c r="Y152" s="245"/>
      <c r="Z152" s="82"/>
      <c r="AA152" s="77"/>
      <c r="AB152" s="85"/>
      <c r="AC152" s="77"/>
      <c r="AD152" s="82"/>
      <c r="AE152" s="599"/>
      <c r="AF152" s="84"/>
      <c r="AG152" s="77"/>
    </row>
    <row r="153" spans="1:33" ht="15" customHeight="1" x14ac:dyDescent="0.25">
      <c r="A153" s="242">
        <v>151</v>
      </c>
      <c r="B153" s="78"/>
      <c r="C153" s="77"/>
      <c r="D153" s="79"/>
      <c r="E153" s="77"/>
      <c r="F153" s="77"/>
      <c r="G153" s="77"/>
      <c r="H153" s="77"/>
      <c r="I153" s="526"/>
      <c r="J153" s="526"/>
      <c r="K153" s="526"/>
      <c r="L153" s="526"/>
      <c r="M153" s="80"/>
      <c r="N153" s="526"/>
      <c r="O153" s="526"/>
      <c r="P153" s="80"/>
      <c r="Q153" s="526"/>
      <c r="R153" s="80"/>
      <c r="S153" s="526"/>
      <c r="T153" s="119" t="str">
        <f t="shared" si="11"/>
        <v xml:space="preserve"> </v>
      </c>
      <c r="U153" s="77"/>
      <c r="V153" s="77"/>
      <c r="W153" s="77"/>
      <c r="X153" s="79"/>
      <c r="Y153" s="245"/>
      <c r="Z153" s="82"/>
      <c r="AA153" s="77"/>
      <c r="AB153" s="77"/>
      <c r="AC153" s="77"/>
      <c r="AD153" s="82"/>
      <c r="AE153" s="599"/>
      <c r="AF153" s="81"/>
      <c r="AG153" s="77"/>
    </row>
    <row r="154" spans="1:33" ht="15" customHeight="1" x14ac:dyDescent="0.25">
      <c r="A154" s="244">
        <v>152</v>
      </c>
      <c r="B154" s="78"/>
      <c r="C154" s="77"/>
      <c r="D154" s="79"/>
      <c r="E154" s="77"/>
      <c r="F154" s="77"/>
      <c r="G154" s="77"/>
      <c r="H154" s="77"/>
      <c r="I154" s="526"/>
      <c r="J154" s="526"/>
      <c r="K154" s="526"/>
      <c r="L154" s="526"/>
      <c r="M154" s="80"/>
      <c r="N154" s="526"/>
      <c r="O154" s="526"/>
      <c r="P154" s="80"/>
      <c r="Q154" s="526"/>
      <c r="R154" s="80"/>
      <c r="S154" s="526"/>
      <c r="T154" s="119" t="str">
        <f t="shared" si="11"/>
        <v xml:space="preserve"> </v>
      </c>
      <c r="U154" s="77"/>
      <c r="V154" s="77"/>
      <c r="W154" s="77"/>
      <c r="X154" s="79"/>
      <c r="Y154" s="245"/>
      <c r="Z154" s="82"/>
      <c r="AA154" s="77"/>
      <c r="AB154" s="85"/>
      <c r="AC154" s="77"/>
      <c r="AD154" s="82"/>
      <c r="AE154" s="599"/>
      <c r="AF154" s="84"/>
      <c r="AG154" s="77"/>
    </row>
    <row r="155" spans="1:33" ht="15" customHeight="1" x14ac:dyDescent="0.25">
      <c r="A155" s="242">
        <v>153</v>
      </c>
      <c r="B155" s="78"/>
      <c r="C155" s="77"/>
      <c r="D155" s="79"/>
      <c r="E155" s="77"/>
      <c r="F155" s="77"/>
      <c r="G155" s="77"/>
      <c r="H155" s="77"/>
      <c r="I155" s="526"/>
      <c r="J155" s="526"/>
      <c r="K155" s="526"/>
      <c r="L155" s="526"/>
      <c r="M155" s="80"/>
      <c r="N155" s="526"/>
      <c r="O155" s="526"/>
      <c r="P155" s="80"/>
      <c r="Q155" s="526"/>
      <c r="R155" s="80"/>
      <c r="S155" s="526"/>
      <c r="T155" s="119" t="str">
        <f t="shared" si="11"/>
        <v xml:space="preserve"> </v>
      </c>
      <c r="U155" s="77"/>
      <c r="V155" s="77"/>
      <c r="W155" s="77"/>
      <c r="X155" s="79"/>
      <c r="Y155" s="245"/>
      <c r="Z155" s="82"/>
      <c r="AA155" s="77"/>
      <c r="AB155" s="77"/>
      <c r="AC155" s="77"/>
      <c r="AD155" s="82"/>
      <c r="AE155" s="599"/>
      <c r="AF155" s="81"/>
      <c r="AG155" s="77"/>
    </row>
    <row r="156" spans="1:33" ht="15" customHeight="1" x14ac:dyDescent="0.25">
      <c r="A156" s="244">
        <v>154</v>
      </c>
      <c r="B156" s="78"/>
      <c r="C156" s="77"/>
      <c r="D156" s="79"/>
      <c r="E156" s="77"/>
      <c r="F156" s="77"/>
      <c r="G156" s="77"/>
      <c r="H156" s="77"/>
      <c r="I156" s="526"/>
      <c r="J156" s="526"/>
      <c r="K156" s="526"/>
      <c r="L156" s="526"/>
      <c r="M156" s="80"/>
      <c r="N156" s="526"/>
      <c r="O156" s="526"/>
      <c r="P156" s="80"/>
      <c r="Q156" s="526"/>
      <c r="R156" s="80"/>
      <c r="S156" s="526"/>
      <c r="T156" s="119" t="str">
        <f t="shared" si="11"/>
        <v xml:space="preserve"> </v>
      </c>
      <c r="U156" s="77"/>
      <c r="V156" s="77"/>
      <c r="W156" s="77"/>
      <c r="X156" s="79"/>
      <c r="Y156" s="245"/>
      <c r="Z156" s="82"/>
      <c r="AA156" s="77"/>
      <c r="AB156" s="85"/>
      <c r="AC156" s="77"/>
      <c r="AD156" s="82"/>
      <c r="AE156" s="599"/>
      <c r="AF156" s="84"/>
      <c r="AG156" s="77"/>
    </row>
    <row r="157" spans="1:33" ht="15" customHeight="1" thickBot="1" x14ac:dyDescent="0.3">
      <c r="A157" s="242">
        <v>155</v>
      </c>
      <c r="B157" s="246"/>
      <c r="C157" s="247"/>
      <c r="D157" s="248"/>
      <c r="E157" s="247"/>
      <c r="F157" s="247"/>
      <c r="G157" s="247"/>
      <c r="H157" s="247"/>
      <c r="I157" s="527"/>
      <c r="J157" s="527"/>
      <c r="K157" s="527"/>
      <c r="L157" s="527"/>
      <c r="M157" s="249"/>
      <c r="N157" s="527"/>
      <c r="O157" s="527"/>
      <c r="P157" s="249"/>
      <c r="Q157" s="527"/>
      <c r="R157" s="249"/>
      <c r="S157" s="527"/>
      <c r="T157" s="250"/>
      <c r="U157" s="247"/>
      <c r="V157" s="247"/>
      <c r="W157" s="247"/>
      <c r="X157" s="248"/>
      <c r="Y157" s="251"/>
      <c r="Z157" s="82"/>
      <c r="AA157" s="77"/>
      <c r="AB157" s="77"/>
      <c r="AC157" s="77"/>
      <c r="AD157" s="82"/>
      <c r="AE157" s="599"/>
      <c r="AF157" s="84"/>
      <c r="AG157" s="77"/>
    </row>
  </sheetData>
  <mergeCells count="55">
    <mergeCell ref="AX15:BB16"/>
    <mergeCell ref="AX17:BB17"/>
    <mergeCell ref="AX3:BB4"/>
    <mergeCell ref="AX5:BB5"/>
    <mergeCell ref="BA18:BB18"/>
    <mergeCell ref="AY6:AZ6"/>
    <mergeCell ref="BA6:BB6"/>
    <mergeCell ref="AX6:AX7"/>
    <mergeCell ref="AY18:AZ18"/>
    <mergeCell ref="AX18:AX19"/>
    <mergeCell ref="AI40:AN44"/>
    <mergeCell ref="AR3:AV3"/>
    <mergeCell ref="AR4:AV4"/>
    <mergeCell ref="AS5:AT5"/>
    <mergeCell ref="AU5:AV5"/>
    <mergeCell ref="AR5:AR6"/>
    <mergeCell ref="AI30:AL31"/>
    <mergeCell ref="AM30:AN31"/>
    <mergeCell ref="AI32:AL33"/>
    <mergeCell ref="AM32:AN33"/>
    <mergeCell ref="AI34:AL35"/>
    <mergeCell ref="AM34:AN35"/>
    <mergeCell ref="AI28:AL29"/>
    <mergeCell ref="AM28:AN29"/>
    <mergeCell ref="AM18:AN19"/>
    <mergeCell ref="AI20:AL21"/>
    <mergeCell ref="AM20:AN21"/>
    <mergeCell ref="A1:AF1"/>
    <mergeCell ref="AO4:AO6"/>
    <mergeCell ref="AP4:AP6"/>
    <mergeCell ref="AJ4:AJ6"/>
    <mergeCell ref="AK4:AK6"/>
    <mergeCell ref="AM4:AM6"/>
    <mergeCell ref="AN4:AN6"/>
    <mergeCell ref="AI4:AI6"/>
    <mergeCell ref="AI14:AL17"/>
    <mergeCell ref="AM14:AN17"/>
    <mergeCell ref="AL4:AL6"/>
    <mergeCell ref="AI3:AP3"/>
    <mergeCell ref="AI36:AL37"/>
    <mergeCell ref="AM36:AN37"/>
    <mergeCell ref="AI38:AL39"/>
    <mergeCell ref="AM38:AN39"/>
    <mergeCell ref="AR15:AV15"/>
    <mergeCell ref="AR16:AV16"/>
    <mergeCell ref="AI26:AL27"/>
    <mergeCell ref="AM26:AN27"/>
    <mergeCell ref="AS17:AT17"/>
    <mergeCell ref="AU17:AV17"/>
    <mergeCell ref="AR17:AR18"/>
    <mergeCell ref="AI22:AL23"/>
    <mergeCell ref="AM22:AN23"/>
    <mergeCell ref="AI24:AL25"/>
    <mergeCell ref="AM24:AN25"/>
    <mergeCell ref="AI18:AL19"/>
  </mergeCells>
  <phoneticPr fontId="9" type="noConversion"/>
  <conditionalFormatting sqref="AR7:AT12 AU12:AV12 AX8:AZ13 BA13:BB13 AR21:AR29 AX20:BB23 AR32 AR34 AR36 AR38 AR40 AR31:AV31 AV19:AV30 AV32:AV40">
    <cfRule type="expression" dxfId="219" priority="98" stopIfTrue="1">
      <formula>MOD(ROW(),2)</formula>
    </cfRule>
  </conditionalFormatting>
  <conditionalFormatting sqref="AJ9:AN9 AJ7:AQ8">
    <cfRule type="expression" dxfId="218" priority="97">
      <formula>MOD(ROW(),2)</formula>
    </cfRule>
  </conditionalFormatting>
  <conditionalFormatting sqref="AI18 AM18 AI20 AM20 AI22 AM22 AI24 AM24 AI26 AM26 AI28 AM28 AI30 AM30 AI32 AM32 AI34 AM34 AI36 AM36">
    <cfRule type="expression" dxfId="217" priority="38" stopIfTrue="1">
      <formula>MOD(ROW(),2)</formula>
    </cfRule>
  </conditionalFormatting>
  <conditionalFormatting sqref="AI38">
    <cfRule type="expression" dxfId="216" priority="37" stopIfTrue="1">
      <formula>MOD(ROW(),2)</formula>
    </cfRule>
  </conditionalFormatting>
  <conditionalFormatting sqref="AM38">
    <cfRule type="expression" dxfId="215" priority="35" stopIfTrue="1">
      <formula>MOD(ROW(),2)</formula>
    </cfRule>
  </conditionalFormatting>
  <conditionalFormatting sqref="AO9">
    <cfRule type="expression" dxfId="214" priority="32">
      <formula>MOD(ROW(),2)</formula>
    </cfRule>
  </conditionalFormatting>
  <conditionalFormatting sqref="AP9:AQ9">
    <cfRule type="expression" dxfId="213" priority="31">
      <formula>MOD(ROW(),2)</formula>
    </cfRule>
  </conditionalFormatting>
  <conditionalFormatting sqref="AR19:AV19 AR20 AS20:AV30">
    <cfRule type="expression" dxfId="212" priority="30" stopIfTrue="1">
      <formula>MOD(ROW(),2)</formula>
    </cfRule>
  </conditionalFormatting>
  <conditionalFormatting sqref="AR30">
    <cfRule type="expression" dxfId="211" priority="25" stopIfTrue="1">
      <formula>MOD(ROW(),2)</formula>
    </cfRule>
  </conditionalFormatting>
  <conditionalFormatting sqref="BA8:BA12">
    <cfRule type="expression" dxfId="210" priority="23" stopIfTrue="1">
      <formula>MOD(ROW(),2)</formula>
    </cfRule>
  </conditionalFormatting>
  <conditionalFormatting sqref="AU7:AV11">
    <cfRule type="expression" dxfId="209" priority="21" stopIfTrue="1">
      <formula>MOD(ROW(),2)</formula>
    </cfRule>
  </conditionalFormatting>
  <conditionalFormatting sqref="BB8:BB12">
    <cfRule type="expression" dxfId="208" priority="19" stopIfTrue="1">
      <formula>MOD(ROW(),2)</formula>
    </cfRule>
  </conditionalFormatting>
  <conditionalFormatting sqref="AD3:AD157 AB3:AB157">
    <cfRule type="containsText" dxfId="207" priority="11" operator="containsText" text="N">
      <formula>NOT(ISERROR(SEARCH("N",AB3)))</formula>
    </cfRule>
  </conditionalFormatting>
  <conditionalFormatting sqref="D1:D1048576">
    <cfRule type="timePeriod" dxfId="206" priority="10" timePeriod="last7Days">
      <formula>AND(TODAY()-FLOOR(D1,1)&lt;=6,FLOOR(D1,1)&lt;=TODAY())</formula>
    </cfRule>
  </conditionalFormatting>
  <conditionalFormatting sqref="AS32:AV40">
    <cfRule type="expression" dxfId="205" priority="9" stopIfTrue="1">
      <formula>MOD(ROW(),2)</formula>
    </cfRule>
  </conditionalFormatting>
  <conditionalFormatting sqref="AR33 AR35 AR37 AR39">
    <cfRule type="expression" dxfId="204" priority="8" stopIfTrue="1">
      <formula>MOD(ROW(),2)</formula>
    </cfRule>
  </conditionalFormatting>
  <conditionalFormatting sqref="A3:AG60 A61:E62 G61:AG62 A63:AG157">
    <cfRule type="expression" dxfId="203" priority="205">
      <formula>$W3="Monitor"</formula>
    </cfRule>
    <cfRule type="expression" dxfId="202" priority="206">
      <formula>$W3="IA"</formula>
    </cfRule>
    <cfRule type="expression" dxfId="201" priority="207">
      <formula>$W3="Extended IA"</formula>
    </cfRule>
    <cfRule type="expression" dxfId="200" priority="208">
      <formula>$W3="Contained"</formula>
    </cfRule>
    <cfRule type="expression" dxfId="199" priority="209">
      <formula>$W3="Controlled"</formula>
    </cfRule>
    <cfRule type="expression" dxfId="198" priority="210">
      <formula>$W3="Patrol"</formula>
    </cfRule>
    <cfRule type="expression" dxfId="197" priority="211">
      <formula>$W3="Out"</formula>
    </cfRule>
  </conditionalFormatting>
  <conditionalFormatting sqref="F61:F62">
    <cfRule type="expression" dxfId="196" priority="1">
      <formula>$W61="Monitor"</formula>
    </cfRule>
    <cfRule type="expression" dxfId="195" priority="2">
      <formula>$W61="IA"</formula>
    </cfRule>
    <cfRule type="expression" dxfId="194" priority="3">
      <formula>$W61="Extended IA"</formula>
    </cfRule>
    <cfRule type="expression" dxfId="193" priority="4">
      <formula>$W61="Contained"</formula>
    </cfRule>
    <cfRule type="expression" dxfId="192" priority="5">
      <formula>$W61="Controlled"</formula>
    </cfRule>
    <cfRule type="expression" dxfId="191" priority="6">
      <formula>$W61="Patrol"</formula>
    </cfRule>
    <cfRule type="expression" dxfId="190" priority="7">
      <formula>$W61="Out"</formula>
    </cfRule>
  </conditionalFormatting>
  <dataValidations count="4">
    <dataValidation allowBlank="1" showInputMessage="1" showErrorMessage="1" promptTitle="Additional Acres" prompt="Identify additional acreage and date. _x000a_Esnsure total acres is accurate in spreadsheet." sqref="AC2" xr:uid="{0B997B0A-D0AB-4527-9715-CAEE5D3F9B14}"/>
    <dataValidation allowBlank="1" showErrorMessage="1" promptTitle="SIT Data Entered" prompt="Identify data entered in SIT using the same format as in SIT along with the date &amp; your initials (e.g. 1 LNF H for 2.34 LNF H acres; 4/10 HP)" sqref="AB2" xr:uid="{B268A2F7-7EEE-4CF0-B083-3EC76664A8E5}"/>
    <dataValidation allowBlank="1" showInputMessage="1" showErrorMessage="1" promptTitle="New Acres Updated" prompt="After SIT, CAD, and YTD have been updated with current acreage total yellow headed columns can be replaced with new acreage updates as needed." sqref="AE2" xr:uid="{CDBE3D77-697A-4591-A84E-5B792CBBF30B}"/>
    <dataValidation allowBlank="1" showErrorMessage="1" promptTitle="Additional Acres" prompt="Identify additional acreage and date. _x000a_Esnsure total acres is accurate in spreadsheet." sqref="AD2" xr:uid="{E0F323C7-322F-4456-AA1D-DA7732A43488}"/>
  </dataValidations>
  <printOptions gridLines="1"/>
  <pageMargins left="0.25" right="0.25" top="0.75" bottom="0.75" header="0" footer="0"/>
  <pageSetup scale="23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 xr:uid="{00000000-0002-0000-0100-000001000000}">
          <x14:formula1>
            <xm:f>'Picklist Tables'!$H$5:$H$6</xm:f>
          </x14:formula1>
          <xm:sqref>AA3:AA157 G3:G157</xm:sqref>
        </x14:dataValidation>
        <x14:dataValidation type="list" allowBlank="1" xr:uid="{00000000-0002-0000-0100-000002000000}">
          <x14:formula1>
            <xm:f>'Picklist Tables'!$H$5:$H$6</xm:f>
          </x14:formula1>
          <xm:sqref>AG3:AG157</xm:sqref>
        </x14:dataValidation>
        <x14:dataValidation type="list" allowBlank="1" showErrorMessage="1" xr:uid="{00000000-0002-0000-0100-000003000000}">
          <x14:formula1>
            <xm:f>'Picklist Tables'!$E$5:$E$6</xm:f>
          </x14:formula1>
          <xm:sqref>V3:V157</xm:sqref>
        </x14:dataValidation>
        <x14:dataValidation type="list" allowBlank="1" showErrorMessage="1" xr:uid="{00000000-0002-0000-0100-000000000000}">
          <x14:formula1>
            <xm:f>'Picklist Tables'!$J$5:$J$10</xm:f>
          </x14:formula1>
          <xm:sqref>B50:B81</xm:sqref>
        </x14:dataValidation>
        <x14:dataValidation type="list" allowBlank="1" showErrorMessage="1" xr:uid="{00000000-0002-0000-0100-000004000000}">
          <x14:formula1>
            <xm:f>'Picklist Tables'!$J$5:$J$9</xm:f>
          </x14:formula1>
          <xm:sqref>B3:B49</xm:sqref>
        </x14:dataValidation>
        <x14:dataValidation type="list" allowBlank="1" showErrorMessage="1" xr:uid="{00000000-0002-0000-0100-000005000000}">
          <x14:formula1>
            <xm:f>'Picklist Tables'!$B$13:$B$19</xm:f>
          </x14:formula1>
          <xm:sqref>W3:W157</xm:sqref>
        </x14:dataValidation>
        <x14:dataValidation type="list" allowBlank="1" showInputMessage="1" showErrorMessage="1" xr:uid="{160A016B-BA13-4E77-ABA7-CA01F82CED60}">
          <x14:formula1>
            <xm:f>'Picklist Tables'!$H$5:$H$6</xm:f>
          </x14:formula1>
          <xm:sqref>AD3:AD157 AB3:AB157</xm:sqref>
        </x14:dataValidation>
        <x14:dataValidation type="list" allowBlank="1" showInputMessage="1" showErrorMessage="1" xr:uid="{2BA3A71B-D201-4EEC-97D8-3A9343969F7E}">
          <x14:formula1>
            <xm:f>'Picklist Tables'!$M$5:$M$17</xm:f>
          </x14:formula1>
          <xm:sqref>H3:H157</xm:sqref>
        </x14:dataValidation>
        <x14:dataValidation type="list" allowBlank="1" showErrorMessage="1" xr:uid="{C5DC74EB-DE6D-45F5-9B96-B73452EAFFE2}">
          <x14:formula1>
            <xm:f>'Picklist Tables'!$M$5:$M$17</xm:f>
          </x14:formula1>
          <xm:sqref>H3:H157</xm:sqref>
        </x14:dataValidation>
        <x14:dataValidation type="list" allowBlank="1" showInputMessage="1" showErrorMessage="1" xr:uid="{D66CCEC6-582A-46B1-A9EE-C93EC586A16A}">
          <x14:formula1>
            <xm:f>'Picklist Tables'!$M$9:$M$31</xm:f>
          </x14:formula1>
          <xm:sqref>P3:P157 R3:R157</xm:sqref>
        </x14:dataValidation>
        <x14:dataValidation type="list" allowBlank="1" showInputMessage="1" showErrorMessage="1" xr:uid="{C3B71810-F8F0-4B53-BA9E-92BA0A55FED2}">
          <x14:formula1>
            <xm:f>'Picklist Tables'!$K$17:$K$25</xm:f>
          </x14:formula1>
          <xm:sqref>M3:M157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V950"/>
  <sheetViews>
    <sheetView zoomScaleNormal="100" workbookViewId="0">
      <pane xSplit="6" ySplit="2" topLeftCell="AH3" activePane="bottomRight" state="frozen"/>
      <selection pane="topRight"/>
      <selection pane="bottomLeft"/>
      <selection pane="bottomRight" activeCell="AB33" sqref="AB33"/>
    </sheetView>
  </sheetViews>
  <sheetFormatPr defaultColWidth="9" defaultRowHeight="12.5" x14ac:dyDescent="0.25"/>
  <cols>
    <col min="1" max="1" width="7.453125" style="69" customWidth="1"/>
    <col min="2" max="2" width="7.81640625" style="69" customWidth="1"/>
    <col min="3" max="3" width="9.1796875" style="69" customWidth="1"/>
    <col min="4" max="4" width="10.54296875" style="69" customWidth="1"/>
    <col min="5" max="5" width="22" style="69" customWidth="1"/>
    <col min="6" max="6" width="11.1796875" style="69" customWidth="1"/>
    <col min="7" max="7" width="6.54296875" style="69" customWidth="1"/>
    <col min="8" max="8" width="21.26953125" style="69" customWidth="1"/>
    <col min="9" max="9" width="18.54296875" style="69" bestFit="1" customWidth="1"/>
    <col min="10" max="10" width="11.54296875" style="69" customWidth="1"/>
    <col min="11" max="11" width="13.54296875" style="69" bestFit="1" customWidth="1"/>
    <col min="12" max="12" width="10.54296875" style="69" customWidth="1"/>
    <col min="13" max="13" width="22.81640625" style="69" customWidth="1"/>
    <col min="14" max="15" width="11.453125" style="69" customWidth="1"/>
    <col min="16" max="16" width="25.26953125" style="69" customWidth="1"/>
    <col min="17" max="17" width="11.453125" style="69" customWidth="1"/>
    <col min="18" max="18" width="23.54296875" style="69" customWidth="1"/>
    <col min="19" max="19" width="11.453125" style="69" customWidth="1"/>
    <col min="20" max="20" width="11.54296875" style="69" customWidth="1"/>
    <col min="21" max="21" width="12.453125" style="69" customWidth="1"/>
    <col min="22" max="22" width="9.54296875" style="69" customWidth="1"/>
    <col min="23" max="23" width="13.81640625" style="69" customWidth="1"/>
    <col min="24" max="24" width="14.1796875" style="69" customWidth="1"/>
    <col min="25" max="25" width="18.54296875" style="69" customWidth="1"/>
    <col min="26" max="26" width="19.54296875" style="69" customWidth="1"/>
    <col min="27" max="27" width="11.81640625" style="69" customWidth="1"/>
    <col min="28" max="28" width="10.81640625" style="69" customWidth="1"/>
    <col min="29" max="29" width="37.54296875" style="69" customWidth="1"/>
    <col min="30" max="30" width="18" style="69" customWidth="1"/>
    <col min="31" max="31" width="31.453125" style="69" customWidth="1"/>
    <col min="32" max="32" width="17.54296875" style="69" customWidth="1"/>
    <col min="33" max="33" width="11.453125" style="70" customWidth="1"/>
    <col min="34" max="34" width="4.1796875" customWidth="1"/>
    <col min="35" max="35" width="11.81640625" style="6" customWidth="1"/>
    <col min="36" max="36" width="7.1796875" style="6" customWidth="1"/>
    <col min="37" max="37" width="12" style="6" customWidth="1"/>
    <col min="38" max="38" width="7.54296875" style="6" customWidth="1"/>
    <col min="39" max="39" width="10.1796875" style="6" customWidth="1"/>
    <col min="40" max="40" width="11.26953125" style="6" customWidth="1"/>
    <col min="41" max="41" width="9.26953125" style="6" customWidth="1"/>
    <col min="42" max="42" width="9.81640625" customWidth="1"/>
    <col min="43" max="43" width="4.81640625" customWidth="1"/>
    <col min="44" max="44" width="23.81640625" customWidth="1"/>
    <col min="48" max="48" width="12.26953125" customWidth="1"/>
  </cols>
  <sheetData>
    <row r="1" spans="1:48" ht="13.5" thickBot="1" x14ac:dyDescent="0.35">
      <c r="A1" s="777"/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  <c r="S1" s="777"/>
      <c r="T1" s="777"/>
      <c r="U1" s="777"/>
      <c r="V1" s="777"/>
      <c r="W1" s="777"/>
      <c r="X1" s="777"/>
      <c r="Y1" s="777"/>
      <c r="Z1" s="777"/>
      <c r="AA1" s="777"/>
      <c r="AB1" s="777"/>
      <c r="AC1" s="777"/>
      <c r="AD1" s="777"/>
      <c r="AE1" s="777"/>
      <c r="AF1" s="777"/>
      <c r="AG1" s="640"/>
      <c r="AH1" s="640"/>
      <c r="AI1" s="7"/>
      <c r="AJ1" s="7"/>
      <c r="AK1" s="7"/>
      <c r="AL1" s="7"/>
      <c r="AM1" s="7"/>
      <c r="AN1" s="7"/>
    </row>
    <row r="2" spans="1:48" ht="81.75" customHeight="1" thickBot="1" x14ac:dyDescent="0.3">
      <c r="A2" s="256" t="s">
        <v>70</v>
      </c>
      <c r="B2" s="257" t="s">
        <v>71</v>
      </c>
      <c r="C2" s="258" t="s">
        <v>72</v>
      </c>
      <c r="D2" s="257" t="s">
        <v>19</v>
      </c>
      <c r="E2" s="257" t="s">
        <v>20</v>
      </c>
      <c r="F2" s="257" t="s">
        <v>21</v>
      </c>
      <c r="G2" s="388" t="s">
        <v>22</v>
      </c>
      <c r="H2" s="383" t="s">
        <v>23</v>
      </c>
      <c r="I2" s="253" t="s">
        <v>356</v>
      </c>
      <c r="J2" s="253" t="s">
        <v>26</v>
      </c>
      <c r="K2" s="253" t="s">
        <v>25</v>
      </c>
      <c r="L2" s="253" t="s">
        <v>27</v>
      </c>
      <c r="M2" s="253" t="s">
        <v>28</v>
      </c>
      <c r="N2" s="253" t="s">
        <v>74</v>
      </c>
      <c r="O2" s="253" t="s">
        <v>130</v>
      </c>
      <c r="P2" s="253" t="s">
        <v>131</v>
      </c>
      <c r="Q2" s="253" t="s">
        <v>132</v>
      </c>
      <c r="R2" s="253" t="s">
        <v>133</v>
      </c>
      <c r="S2" s="253" t="s">
        <v>134</v>
      </c>
      <c r="T2" s="257" t="s">
        <v>35</v>
      </c>
      <c r="U2" s="257" t="s">
        <v>36</v>
      </c>
      <c r="V2" s="257" t="s">
        <v>37</v>
      </c>
      <c r="W2" s="257" t="s">
        <v>38</v>
      </c>
      <c r="X2" s="257" t="s">
        <v>39</v>
      </c>
      <c r="Y2" s="259" t="s">
        <v>40</v>
      </c>
      <c r="Z2" s="241" t="s">
        <v>135</v>
      </c>
      <c r="AA2" s="116" t="s">
        <v>136</v>
      </c>
      <c r="AB2" s="291" t="s">
        <v>137</v>
      </c>
      <c r="AC2" s="91" t="s">
        <v>138</v>
      </c>
      <c r="AD2" s="91" t="s">
        <v>357</v>
      </c>
      <c r="AE2" s="155" t="s">
        <v>140</v>
      </c>
      <c r="AF2" s="116" t="s">
        <v>141</v>
      </c>
      <c r="AG2" s="117" t="s">
        <v>142</v>
      </c>
      <c r="AH2" s="3"/>
      <c r="AI2" s="7"/>
      <c r="AJ2" s="7"/>
      <c r="AK2" s="7"/>
      <c r="AL2" s="7"/>
      <c r="AM2" s="7"/>
      <c r="AN2" s="7"/>
    </row>
    <row r="3" spans="1:48" ht="16" thickBot="1" x14ac:dyDescent="0.3">
      <c r="A3" s="262">
        <v>1</v>
      </c>
      <c r="B3" s="263" t="s">
        <v>358</v>
      </c>
      <c r="C3" s="263">
        <v>1</v>
      </c>
      <c r="D3" s="264">
        <v>45007</v>
      </c>
      <c r="E3" s="263" t="s">
        <v>359</v>
      </c>
      <c r="F3" s="263">
        <v>200074</v>
      </c>
      <c r="G3" s="263" t="s">
        <v>43</v>
      </c>
      <c r="H3" s="263" t="s">
        <v>220</v>
      </c>
      <c r="I3" s="265">
        <v>0.4</v>
      </c>
      <c r="J3" s="265"/>
      <c r="K3" s="265"/>
      <c r="L3" s="265"/>
      <c r="M3" s="265" t="s">
        <v>220</v>
      </c>
      <c r="N3" s="266">
        <v>0.4</v>
      </c>
      <c r="O3" s="266"/>
      <c r="P3" s="266"/>
      <c r="Q3" s="266"/>
      <c r="R3" s="266"/>
      <c r="S3" s="266"/>
      <c r="T3" s="267" t="str">
        <f t="shared" ref="T3:T34" si="0">IF($I3&lt;=0, " ",IF($I3&lt;=0.25, "A",IF($I3&lt;10, "B",IF($I3&lt;100, "C", IF($I3&lt;300, "D",IF($I3&lt;1000, "E",IF($I3&lt;5000,"F",IF($I3&gt;=5000, "G"))))))))</f>
        <v>B</v>
      </c>
      <c r="U3" s="263" t="s">
        <v>43</v>
      </c>
      <c r="V3" s="263" t="s">
        <v>47</v>
      </c>
      <c r="W3" s="263" t="s">
        <v>67</v>
      </c>
      <c r="X3" s="264">
        <v>45009</v>
      </c>
      <c r="Y3" s="268">
        <v>903006</v>
      </c>
      <c r="Z3" s="260" t="s">
        <v>360</v>
      </c>
      <c r="AA3" s="57" t="s">
        <v>107</v>
      </c>
      <c r="AB3" s="57" t="s">
        <v>107</v>
      </c>
      <c r="AC3" s="57"/>
      <c r="AD3" s="57"/>
      <c r="AE3" s="57"/>
      <c r="AF3" s="59" t="s">
        <v>361</v>
      </c>
      <c r="AG3" s="57"/>
      <c r="AH3" s="3"/>
      <c r="AI3" s="784" t="s">
        <v>362</v>
      </c>
      <c r="AJ3" s="785"/>
      <c r="AK3" s="785"/>
      <c r="AL3" s="785"/>
      <c r="AM3" s="785"/>
      <c r="AN3" s="785"/>
      <c r="AO3" s="785"/>
      <c r="AP3" s="786"/>
      <c r="AR3" s="770" t="s">
        <v>148</v>
      </c>
      <c r="AS3" s="771"/>
      <c r="AT3" s="771"/>
      <c r="AU3" s="771"/>
      <c r="AV3" s="772"/>
    </row>
    <row r="4" spans="1:48" ht="16" thickBot="1" x14ac:dyDescent="0.3">
      <c r="A4" s="269">
        <v>2</v>
      </c>
      <c r="B4" s="60" t="s">
        <v>358</v>
      </c>
      <c r="C4" s="60">
        <v>2</v>
      </c>
      <c r="D4" s="61">
        <v>45026</v>
      </c>
      <c r="E4" s="60" t="s">
        <v>363</v>
      </c>
      <c r="F4" s="60">
        <v>200114</v>
      </c>
      <c r="G4" s="60" t="s">
        <v>43</v>
      </c>
      <c r="H4" s="60" t="s">
        <v>220</v>
      </c>
      <c r="I4" s="62">
        <v>1</v>
      </c>
      <c r="J4" s="62"/>
      <c r="K4" s="62"/>
      <c r="L4" s="62"/>
      <c r="M4" s="62" t="s">
        <v>220</v>
      </c>
      <c r="N4" s="63">
        <v>1</v>
      </c>
      <c r="O4" s="63"/>
      <c r="P4" s="63"/>
      <c r="Q4" s="63"/>
      <c r="R4" s="63"/>
      <c r="S4" s="63"/>
      <c r="T4" s="27" t="str">
        <f t="shared" si="0"/>
        <v>B</v>
      </c>
      <c r="U4" s="60" t="s">
        <v>43</v>
      </c>
      <c r="V4" s="60" t="s">
        <v>47</v>
      </c>
      <c r="W4" s="60" t="s">
        <v>67</v>
      </c>
      <c r="X4" s="61">
        <v>45026</v>
      </c>
      <c r="Y4" s="270">
        <v>903014</v>
      </c>
      <c r="Z4" s="261" t="s">
        <v>364</v>
      </c>
      <c r="AA4" s="60" t="s">
        <v>107</v>
      </c>
      <c r="AB4" s="60" t="s">
        <v>107</v>
      </c>
      <c r="AC4" s="60"/>
      <c r="AD4" s="60"/>
      <c r="AE4" s="60"/>
      <c r="AF4" s="60" t="s">
        <v>361</v>
      </c>
      <c r="AG4" s="60"/>
      <c r="AH4" s="3"/>
      <c r="AI4" s="778"/>
      <c r="AJ4" s="780" t="s">
        <v>365</v>
      </c>
      <c r="AK4" s="782" t="s">
        <v>155</v>
      </c>
      <c r="AL4" s="741" t="s">
        <v>366</v>
      </c>
      <c r="AM4" s="714" t="s">
        <v>158</v>
      </c>
      <c r="AN4" s="714" t="s">
        <v>157</v>
      </c>
      <c r="AO4" s="714" t="s">
        <v>159</v>
      </c>
      <c r="AP4" s="717" t="s">
        <v>160</v>
      </c>
      <c r="AR4" s="773" t="s">
        <v>367</v>
      </c>
      <c r="AS4" s="774"/>
      <c r="AT4" s="774"/>
      <c r="AU4" s="774"/>
      <c r="AV4" s="775"/>
    </row>
    <row r="5" spans="1:48" ht="13" x14ac:dyDescent="0.25">
      <c r="A5" s="271">
        <v>3</v>
      </c>
      <c r="B5" s="60" t="s">
        <v>358</v>
      </c>
      <c r="C5" s="60">
        <v>3</v>
      </c>
      <c r="D5" s="61">
        <v>45026</v>
      </c>
      <c r="E5" s="60" t="s">
        <v>368</v>
      </c>
      <c r="F5" s="60">
        <v>200116</v>
      </c>
      <c r="G5" s="60" t="s">
        <v>43</v>
      </c>
      <c r="H5" s="60" t="s">
        <v>220</v>
      </c>
      <c r="I5" s="62">
        <v>0.1</v>
      </c>
      <c r="J5" s="62"/>
      <c r="K5" s="62"/>
      <c r="L5" s="62"/>
      <c r="M5" s="62" t="s">
        <v>220</v>
      </c>
      <c r="N5" s="63">
        <v>0.1</v>
      </c>
      <c r="O5" s="63"/>
      <c r="P5" s="63"/>
      <c r="Q5" s="63"/>
      <c r="R5" s="63"/>
      <c r="S5" s="63"/>
      <c r="T5" s="27" t="str">
        <f t="shared" si="0"/>
        <v>A</v>
      </c>
      <c r="U5" s="60" t="s">
        <v>43</v>
      </c>
      <c r="V5" s="60" t="s">
        <v>47</v>
      </c>
      <c r="W5" s="60" t="s">
        <v>67</v>
      </c>
      <c r="X5" s="61">
        <v>45026</v>
      </c>
      <c r="Y5" s="270">
        <v>903015</v>
      </c>
      <c r="Z5" s="261" t="s">
        <v>369</v>
      </c>
      <c r="AA5" s="60" t="s">
        <v>107</v>
      </c>
      <c r="AB5" s="60" t="s">
        <v>107</v>
      </c>
      <c r="AC5" s="60"/>
      <c r="AD5" s="60"/>
      <c r="AE5" s="60"/>
      <c r="AF5" s="60" t="s">
        <v>361</v>
      </c>
      <c r="AG5" s="60"/>
      <c r="AH5" s="3"/>
      <c r="AI5" s="779"/>
      <c r="AJ5" s="781"/>
      <c r="AK5" s="783"/>
      <c r="AL5" s="742"/>
      <c r="AM5" s="715"/>
      <c r="AN5" s="715"/>
      <c r="AO5" s="715"/>
      <c r="AP5" s="718"/>
      <c r="AR5" s="755" t="s">
        <v>166</v>
      </c>
      <c r="AS5" s="752" t="s">
        <v>167</v>
      </c>
      <c r="AT5" s="753"/>
      <c r="AU5" s="754" t="s">
        <v>168</v>
      </c>
      <c r="AV5" s="753"/>
    </row>
    <row r="6" spans="1:48" ht="13.5" thickBot="1" x14ac:dyDescent="0.3">
      <c r="A6" s="269">
        <v>4</v>
      </c>
      <c r="B6" s="60" t="s">
        <v>358</v>
      </c>
      <c r="C6" s="60">
        <v>4</v>
      </c>
      <c r="D6" s="61">
        <v>45035</v>
      </c>
      <c r="E6" s="60" t="s">
        <v>370</v>
      </c>
      <c r="F6" s="60">
        <v>200155</v>
      </c>
      <c r="G6" s="60" t="s">
        <v>43</v>
      </c>
      <c r="H6" s="60" t="s">
        <v>220</v>
      </c>
      <c r="I6" s="62">
        <v>1.23</v>
      </c>
      <c r="J6" s="62"/>
      <c r="K6" s="62"/>
      <c r="L6" s="62"/>
      <c r="M6" s="62" t="s">
        <v>220</v>
      </c>
      <c r="N6" s="63">
        <v>1.23</v>
      </c>
      <c r="O6" s="63"/>
      <c r="P6" s="63"/>
      <c r="Q6" s="63"/>
      <c r="R6" s="63"/>
      <c r="S6" s="63"/>
      <c r="T6" s="27" t="str">
        <f t="shared" si="0"/>
        <v>B</v>
      </c>
      <c r="U6" s="60" t="s">
        <v>43</v>
      </c>
      <c r="V6" s="60" t="s">
        <v>47</v>
      </c>
      <c r="W6" s="60" t="s">
        <v>67</v>
      </c>
      <c r="X6" s="61">
        <v>45040</v>
      </c>
      <c r="Y6" s="270">
        <v>903021</v>
      </c>
      <c r="Z6" s="261" t="s">
        <v>371</v>
      </c>
      <c r="AA6" s="60" t="s">
        <v>107</v>
      </c>
      <c r="AB6" s="60" t="s">
        <v>107</v>
      </c>
      <c r="AC6" s="60"/>
      <c r="AD6" s="60"/>
      <c r="AE6" s="60"/>
      <c r="AF6" s="60" t="s">
        <v>372</v>
      </c>
      <c r="AG6" s="60"/>
      <c r="AH6" s="3"/>
      <c r="AI6" s="779"/>
      <c r="AJ6" s="781"/>
      <c r="AK6" s="783"/>
      <c r="AL6" s="743"/>
      <c r="AM6" s="776"/>
      <c r="AN6" s="776"/>
      <c r="AO6" s="776"/>
      <c r="AP6" s="723"/>
      <c r="AR6" s="756"/>
      <c r="AS6" s="161" t="s">
        <v>172</v>
      </c>
      <c r="AT6" s="162" t="s">
        <v>173</v>
      </c>
      <c r="AU6" s="163" t="s">
        <v>172</v>
      </c>
      <c r="AV6" s="162" t="s">
        <v>173</v>
      </c>
    </row>
    <row r="7" spans="1:48" ht="13" x14ac:dyDescent="0.25">
      <c r="A7" s="271">
        <v>5</v>
      </c>
      <c r="B7" s="60" t="s">
        <v>75</v>
      </c>
      <c r="C7" s="60">
        <v>1</v>
      </c>
      <c r="D7" s="61">
        <v>45037</v>
      </c>
      <c r="E7" s="60" t="s">
        <v>373</v>
      </c>
      <c r="F7" s="60">
        <v>200161</v>
      </c>
      <c r="G7" s="60" t="s">
        <v>43</v>
      </c>
      <c r="H7" s="60" t="s">
        <v>220</v>
      </c>
      <c r="I7" s="62">
        <v>0.1</v>
      </c>
      <c r="J7" s="62"/>
      <c r="K7" s="62"/>
      <c r="L7" s="62"/>
      <c r="M7" s="62" t="s">
        <v>220</v>
      </c>
      <c r="N7" s="63">
        <v>0.1</v>
      </c>
      <c r="O7" s="63"/>
      <c r="P7" s="63"/>
      <c r="Q7" s="63"/>
      <c r="R7" s="63"/>
      <c r="S7" s="63"/>
      <c r="T7" s="27" t="str">
        <f t="shared" si="0"/>
        <v>A</v>
      </c>
      <c r="U7" s="60" t="s">
        <v>43</v>
      </c>
      <c r="V7" s="60" t="s">
        <v>47</v>
      </c>
      <c r="W7" s="60" t="s">
        <v>67</v>
      </c>
      <c r="X7" s="61">
        <v>45040</v>
      </c>
      <c r="Y7" s="270">
        <v>903025</v>
      </c>
      <c r="Z7" s="261" t="s">
        <v>374</v>
      </c>
      <c r="AA7" s="60" t="s">
        <v>107</v>
      </c>
      <c r="AB7" s="60" t="s">
        <v>107</v>
      </c>
      <c r="AC7" s="60"/>
      <c r="AD7" s="60"/>
      <c r="AE7" s="60"/>
      <c r="AF7" s="60" t="s">
        <v>375</v>
      </c>
      <c r="AG7" s="60"/>
      <c r="AH7" s="3"/>
      <c r="AI7" s="191" t="s">
        <v>167</v>
      </c>
      <c r="AJ7" s="192">
        <f>COUNTIFS($V3:$V152, "H", $AA$3:$AA$152, "Y")</f>
        <v>27</v>
      </c>
      <c r="AK7" s="519">
        <f>SUMIFS($I$3:$I$152,$V$3:$V$152, "h",$AA$3:$AA$152,"y")</f>
        <v>17.580000000000002</v>
      </c>
      <c r="AL7" s="343">
        <f>COUNTIFS($J$3:$J$152,"&lt;&gt;",$AA$3:$AA$152,"Y",$V$3:$V$152,"H")</f>
        <v>0</v>
      </c>
      <c r="AM7" s="521">
        <f>SUMIFS($J$3:$J$152,$V$3:$V$152, "H",$AA$3:$AA$152,"Y")</f>
        <v>0</v>
      </c>
      <c r="AN7" s="521">
        <f>SUMIFS($K$3:$K$152,$V$3:$V$152, "H",$AA$3:$AA$152,"Y")</f>
        <v>0.4</v>
      </c>
      <c r="AO7" s="521">
        <f>SUMIFS($L$3:$L$152,$V$3:$V$152, "H",$AA$3:$AA$152,"Y")</f>
        <v>0</v>
      </c>
      <c r="AP7" s="519">
        <f>SUMIFS($N$3:$N$152,$V$3:$V$152, "L", $AA$3:$AA$152,"Y")</f>
        <v>0.1</v>
      </c>
      <c r="AR7" s="193" t="s">
        <v>358</v>
      </c>
      <c r="AS7" s="165">
        <f>COUNTIFS($B$3:$B$152, $AR7, $AA$3:$AA$152, "Y",$V$3:$V$152,"H")</f>
        <v>21</v>
      </c>
      <c r="AT7" s="498">
        <f>SUMIFS($I$3:$I$152,$B$3:$B$152, $AR7,$AA$3:$AA$152,"Y",$V$3:$V$152,"H")</f>
        <v>16.830000000000002</v>
      </c>
      <c r="AU7" s="165">
        <f>COUNTIFS($B$3:$B$152, $AR7, $AA$3:$AA$152, "Y",$V$3:$V$152,"L")</f>
        <v>1</v>
      </c>
      <c r="AV7" s="498">
        <f>SUMIFS($I$3:$I$152,$B$3:$B$152, $AR7,$AA$3:$AA$152,"Y",$V$3:$V$152,"L")</f>
        <v>0.1</v>
      </c>
    </row>
    <row r="8" spans="1:48" ht="13.5" thickBot="1" x14ac:dyDescent="0.3">
      <c r="A8" s="269">
        <v>6</v>
      </c>
      <c r="B8" s="60" t="s">
        <v>358</v>
      </c>
      <c r="C8" s="60">
        <v>5</v>
      </c>
      <c r="D8" s="61">
        <v>45045</v>
      </c>
      <c r="E8" s="60" t="s">
        <v>376</v>
      </c>
      <c r="F8" s="60">
        <v>200191</v>
      </c>
      <c r="G8" s="60" t="s">
        <v>43</v>
      </c>
      <c r="H8" s="60" t="s">
        <v>220</v>
      </c>
      <c r="I8" s="62">
        <v>0.2</v>
      </c>
      <c r="J8" s="62"/>
      <c r="K8" s="62"/>
      <c r="L8" s="62"/>
      <c r="M8" s="62" t="s">
        <v>220</v>
      </c>
      <c r="N8" s="63">
        <v>0.2</v>
      </c>
      <c r="O8" s="63"/>
      <c r="P8" s="63"/>
      <c r="Q8" s="63"/>
      <c r="R8" s="63"/>
      <c r="S8" s="63"/>
      <c r="T8" s="27" t="str">
        <f t="shared" si="0"/>
        <v>A</v>
      </c>
      <c r="U8" s="60" t="s">
        <v>43</v>
      </c>
      <c r="V8" s="60" t="s">
        <v>47</v>
      </c>
      <c r="W8" s="60" t="s">
        <v>67</v>
      </c>
      <c r="X8" s="61">
        <v>45048</v>
      </c>
      <c r="Y8" s="270">
        <v>903036</v>
      </c>
      <c r="Z8" s="261" t="s">
        <v>377</v>
      </c>
      <c r="AA8" s="60" t="s">
        <v>107</v>
      </c>
      <c r="AB8" s="60" t="s">
        <v>107</v>
      </c>
      <c r="AC8" s="60"/>
      <c r="AD8" s="60"/>
      <c r="AE8" s="60"/>
      <c r="AF8" s="60" t="s">
        <v>361</v>
      </c>
      <c r="AG8" s="60"/>
      <c r="AH8" s="2"/>
      <c r="AI8" s="194" t="s">
        <v>168</v>
      </c>
      <c r="AJ8" s="195">
        <f>COUNTIFS($V4:$V153, "L", $AA$3:$AA$152, "Y")</f>
        <v>3</v>
      </c>
      <c r="AK8" s="520">
        <f>SUMIFS($I$3:$I$152,$V$3:$V$152, "L",$AA$3:$AA$152,"y")</f>
        <v>7154.2000000000007</v>
      </c>
      <c r="AL8" s="344">
        <f>COUNTIFS($J$3:$J$152,"&lt;&gt;",$AA$3:$AA$152,"Y",$V$3:$V$152,"L")</f>
        <v>2</v>
      </c>
      <c r="AM8" s="522">
        <f>SUMIFS($J$3:$J$152,$V$3:$V$152, "L",$AA$3:$AA$152,"Y")</f>
        <v>418.1</v>
      </c>
      <c r="AN8" s="522">
        <f>SUMIFS($K$3:$K$152,$V$3:$V$152, "L",$AA$3:$AA$152,"Y")</f>
        <v>5495</v>
      </c>
      <c r="AO8" s="522">
        <f>SUMIFS($L$3:$L$152,$V$3:$V$152, "L",$AA$3:$AA$152,"Y")</f>
        <v>0</v>
      </c>
      <c r="AP8" s="520">
        <f>SUMIFS($N$3:$N$152,$V$3:$V$152, "H", $AA$3:$AA$152,"Y")</f>
        <v>14.429999999999998</v>
      </c>
      <c r="AR8" s="196" t="s">
        <v>75</v>
      </c>
      <c r="AS8" s="175">
        <f>COUNTIFS($B$3:$B$152, $AR8, $AA$3:$AA$152, "Y",$V$3:$V$152,"H")</f>
        <v>6</v>
      </c>
      <c r="AT8" s="510">
        <f>SUMIFS($I$3:$I$152,$B$3:$B$152, $AR8,$AA$3:$AA$152,"Y",$V$3:$V$152,"H")</f>
        <v>0.75</v>
      </c>
      <c r="AU8" s="175">
        <f>COUNTIFS($B$3:$B$152, $AR8, $AA$3:$AA$152, "Y",$V$3:$V$152,"L")</f>
        <v>2</v>
      </c>
      <c r="AV8" s="510">
        <f>SUMIFS($I$3:$I$152,$B$3:$B$152, $AR8,$AA$3:$AA$152,"Y",$V$3:$V$152,"L")</f>
        <v>7154.1</v>
      </c>
    </row>
    <row r="9" spans="1:48" ht="14" thickTop="1" thickBot="1" x14ac:dyDescent="0.3">
      <c r="A9" s="271">
        <v>7</v>
      </c>
      <c r="B9" s="60" t="s">
        <v>358</v>
      </c>
      <c r="C9" s="60">
        <v>6</v>
      </c>
      <c r="D9" s="61">
        <v>45047</v>
      </c>
      <c r="E9" s="60" t="s">
        <v>378</v>
      </c>
      <c r="F9" s="60">
        <v>200203</v>
      </c>
      <c r="G9" s="60" t="s">
        <v>43</v>
      </c>
      <c r="H9" s="60" t="s">
        <v>220</v>
      </c>
      <c r="I9" s="62">
        <v>8.75</v>
      </c>
      <c r="J9" s="62"/>
      <c r="K9" s="62"/>
      <c r="L9" s="62"/>
      <c r="M9" s="62" t="s">
        <v>220</v>
      </c>
      <c r="N9" s="62">
        <v>6</v>
      </c>
      <c r="O9" s="62"/>
      <c r="P9" s="62"/>
      <c r="Q9" s="62"/>
      <c r="R9" s="62"/>
      <c r="S9" s="62"/>
      <c r="T9" s="27" t="str">
        <f t="shared" si="0"/>
        <v>B</v>
      </c>
      <c r="U9" s="60" t="s">
        <v>43</v>
      </c>
      <c r="V9" s="60" t="s">
        <v>47</v>
      </c>
      <c r="W9" s="60" t="s">
        <v>67</v>
      </c>
      <c r="X9" s="61">
        <v>45057</v>
      </c>
      <c r="Y9" s="270">
        <v>903044</v>
      </c>
      <c r="Z9" s="261" t="s">
        <v>379</v>
      </c>
      <c r="AA9" s="60" t="s">
        <v>107</v>
      </c>
      <c r="AB9" s="60" t="s">
        <v>107</v>
      </c>
      <c r="AC9" s="60"/>
      <c r="AD9" s="60"/>
      <c r="AE9" s="60"/>
      <c r="AF9" s="60" t="s">
        <v>380</v>
      </c>
      <c r="AG9" s="60"/>
      <c r="AH9" s="3"/>
      <c r="AI9" s="197" t="s">
        <v>181</v>
      </c>
      <c r="AJ9" s="284">
        <f t="shared" ref="AJ9:AP9" si="1">SUM(AJ7:AJ8)</f>
        <v>30</v>
      </c>
      <c r="AK9" s="505">
        <f t="shared" si="1"/>
        <v>7171.7800000000007</v>
      </c>
      <c r="AL9" s="537">
        <f>SUM(AL7:AL8)</f>
        <v>2</v>
      </c>
      <c r="AM9" s="504">
        <f t="shared" si="1"/>
        <v>418.1</v>
      </c>
      <c r="AN9" s="504">
        <f t="shared" si="1"/>
        <v>5495.4</v>
      </c>
      <c r="AO9" s="504">
        <f t="shared" si="1"/>
        <v>0</v>
      </c>
      <c r="AP9" s="505">
        <f t="shared" si="1"/>
        <v>14.529999999999998</v>
      </c>
      <c r="AR9" s="198" t="s">
        <v>181</v>
      </c>
      <c r="AS9" s="199">
        <f>AS7+AS8</f>
        <v>27</v>
      </c>
      <c r="AT9" s="523">
        <f>AT7+AT8</f>
        <v>17.580000000000002</v>
      </c>
      <c r="AU9" s="199">
        <f>AU7+AU8</f>
        <v>3</v>
      </c>
      <c r="AV9" s="523">
        <f>AV7+AV8</f>
        <v>7154.2000000000007</v>
      </c>
    </row>
    <row r="10" spans="1:48" ht="13.5" thickBot="1" x14ac:dyDescent="0.3">
      <c r="A10" s="269">
        <v>8</v>
      </c>
      <c r="B10" s="60" t="s">
        <v>358</v>
      </c>
      <c r="C10" s="60">
        <v>7</v>
      </c>
      <c r="D10" s="61">
        <v>45047</v>
      </c>
      <c r="E10" s="60" t="s">
        <v>381</v>
      </c>
      <c r="F10" s="60">
        <v>200203</v>
      </c>
      <c r="G10" s="60" t="s">
        <v>43</v>
      </c>
      <c r="H10" s="60" t="s">
        <v>220</v>
      </c>
      <c r="I10" s="62">
        <v>0.3</v>
      </c>
      <c r="J10" s="62"/>
      <c r="K10" s="62"/>
      <c r="L10" s="62"/>
      <c r="M10" s="62" t="s">
        <v>220</v>
      </c>
      <c r="N10" s="62">
        <v>0.3</v>
      </c>
      <c r="O10" s="62"/>
      <c r="P10" s="62"/>
      <c r="Q10" s="62"/>
      <c r="R10" s="62"/>
      <c r="S10" s="62"/>
      <c r="T10" s="27" t="str">
        <f t="shared" si="0"/>
        <v>B</v>
      </c>
      <c r="U10" s="60" t="s">
        <v>43</v>
      </c>
      <c r="V10" s="60" t="s">
        <v>47</v>
      </c>
      <c r="W10" s="60" t="s">
        <v>67</v>
      </c>
      <c r="X10" s="61">
        <v>45050</v>
      </c>
      <c r="Y10" s="270">
        <v>903045</v>
      </c>
      <c r="Z10" s="261" t="s">
        <v>379</v>
      </c>
      <c r="AA10" s="60" t="s">
        <v>107</v>
      </c>
      <c r="AB10" s="60" t="s">
        <v>107</v>
      </c>
      <c r="AC10" s="60"/>
      <c r="AD10" s="60"/>
      <c r="AE10" s="60"/>
      <c r="AF10" s="60" t="s">
        <v>380</v>
      </c>
      <c r="AG10" s="60"/>
      <c r="AH10" s="3"/>
      <c r="AI10" s="12"/>
      <c r="AJ10" s="46"/>
      <c r="AK10" s="12"/>
      <c r="AL10" s="12"/>
      <c r="AM10" s="12"/>
      <c r="AN10" s="12"/>
      <c r="AO10" s="12"/>
    </row>
    <row r="11" spans="1:48" ht="15.5" x14ac:dyDescent="0.25">
      <c r="A11" s="271">
        <v>9</v>
      </c>
      <c r="B11" s="60" t="s">
        <v>358</v>
      </c>
      <c r="C11" s="60">
        <v>8</v>
      </c>
      <c r="D11" s="61">
        <v>45047</v>
      </c>
      <c r="E11" s="60" t="s">
        <v>382</v>
      </c>
      <c r="F11" s="60">
        <v>200205</v>
      </c>
      <c r="G11" s="60" t="s">
        <v>43</v>
      </c>
      <c r="H11" s="60" t="s">
        <v>220</v>
      </c>
      <c r="I11" s="62">
        <v>0.2</v>
      </c>
      <c r="J11" s="62"/>
      <c r="K11" s="62"/>
      <c r="L11" s="62"/>
      <c r="M11" s="62" t="s">
        <v>220</v>
      </c>
      <c r="N11" s="62">
        <v>0.2</v>
      </c>
      <c r="O11" s="62"/>
      <c r="P11" s="62"/>
      <c r="Q11" s="62"/>
      <c r="R11" s="62"/>
      <c r="S11" s="62"/>
      <c r="T11" s="27" t="str">
        <f t="shared" si="0"/>
        <v>A</v>
      </c>
      <c r="U11" s="60" t="s">
        <v>43</v>
      </c>
      <c r="V11" s="60" t="s">
        <v>47</v>
      </c>
      <c r="W11" s="60" t="s">
        <v>67</v>
      </c>
      <c r="X11" s="61">
        <v>45051</v>
      </c>
      <c r="Y11" s="270">
        <v>903046</v>
      </c>
      <c r="Z11" s="261" t="s">
        <v>379</v>
      </c>
      <c r="AA11" s="60" t="s">
        <v>107</v>
      </c>
      <c r="AB11" s="60" t="s">
        <v>107</v>
      </c>
      <c r="AC11" s="60"/>
      <c r="AD11" s="60"/>
      <c r="AE11" s="60"/>
      <c r="AF11" s="60" t="s">
        <v>383</v>
      </c>
      <c r="AG11" s="60"/>
      <c r="AH11" s="3"/>
      <c r="AI11" s="726" t="s">
        <v>196</v>
      </c>
      <c r="AJ11" s="727"/>
      <c r="AK11" s="727"/>
      <c r="AL11" s="728"/>
      <c r="AM11" s="735" t="s">
        <v>197</v>
      </c>
      <c r="AN11" s="736"/>
      <c r="AP11" s="6"/>
      <c r="AR11" s="698" t="s">
        <v>148</v>
      </c>
      <c r="AS11" s="699"/>
      <c r="AT11" s="699"/>
      <c r="AU11" s="699"/>
      <c r="AV11" s="700"/>
    </row>
    <row r="12" spans="1:48" ht="16" thickBot="1" x14ac:dyDescent="0.3">
      <c r="A12" s="269">
        <v>10</v>
      </c>
      <c r="B12" s="60" t="s">
        <v>358</v>
      </c>
      <c r="C12" s="60">
        <v>9</v>
      </c>
      <c r="D12" s="61">
        <v>45047</v>
      </c>
      <c r="E12" s="60" t="s">
        <v>384</v>
      </c>
      <c r="F12" s="60">
        <v>200207</v>
      </c>
      <c r="G12" s="60" t="s">
        <v>43</v>
      </c>
      <c r="H12" s="60" t="s">
        <v>220</v>
      </c>
      <c r="I12" s="62">
        <v>0.1</v>
      </c>
      <c r="J12" s="62"/>
      <c r="K12" s="62"/>
      <c r="L12" s="62"/>
      <c r="M12" s="62" t="s">
        <v>220</v>
      </c>
      <c r="N12" s="62">
        <v>0.1</v>
      </c>
      <c r="O12" s="62"/>
      <c r="P12" s="62"/>
      <c r="Q12" s="62"/>
      <c r="R12" s="62"/>
      <c r="S12" s="62"/>
      <c r="T12" s="27" t="str">
        <f t="shared" si="0"/>
        <v>A</v>
      </c>
      <c r="U12" s="60" t="s">
        <v>43</v>
      </c>
      <c r="V12" s="60" t="s">
        <v>47</v>
      </c>
      <c r="W12" s="60" t="s">
        <v>67</v>
      </c>
      <c r="X12" s="61">
        <v>45050</v>
      </c>
      <c r="Y12" s="270">
        <v>903049</v>
      </c>
      <c r="Z12" s="261" t="s">
        <v>377</v>
      </c>
      <c r="AA12" s="60" t="s">
        <v>107</v>
      </c>
      <c r="AB12" s="64" t="s">
        <v>107</v>
      </c>
      <c r="AC12" s="60"/>
      <c r="AD12" s="64"/>
      <c r="AE12" s="60"/>
      <c r="AF12" s="60" t="s">
        <v>361</v>
      </c>
      <c r="AG12" s="60"/>
      <c r="AH12" s="3"/>
      <c r="AI12" s="732"/>
      <c r="AJ12" s="733"/>
      <c r="AK12" s="733"/>
      <c r="AL12" s="734"/>
      <c r="AM12" s="739"/>
      <c r="AN12" s="740"/>
      <c r="AP12" s="6"/>
      <c r="AR12" s="773" t="s">
        <v>385</v>
      </c>
      <c r="AS12" s="774"/>
      <c r="AT12" s="774"/>
      <c r="AU12" s="774"/>
      <c r="AV12" s="775"/>
    </row>
    <row r="13" spans="1:48" ht="13" x14ac:dyDescent="0.25">
      <c r="A13" s="271">
        <v>11</v>
      </c>
      <c r="B13" s="60" t="s">
        <v>75</v>
      </c>
      <c r="C13" s="60">
        <v>2</v>
      </c>
      <c r="D13" s="61">
        <v>45061</v>
      </c>
      <c r="E13" s="60" t="s">
        <v>57</v>
      </c>
      <c r="F13" s="60">
        <v>200258</v>
      </c>
      <c r="G13" s="60" t="s">
        <v>43</v>
      </c>
      <c r="H13" s="60" t="s">
        <v>52</v>
      </c>
      <c r="I13" s="62">
        <v>0.1</v>
      </c>
      <c r="J13" s="62"/>
      <c r="K13" s="62">
        <v>0.1</v>
      </c>
      <c r="L13" s="62"/>
      <c r="M13" s="62"/>
      <c r="N13" s="62"/>
      <c r="O13" s="62"/>
      <c r="P13" s="62"/>
      <c r="Q13" s="62"/>
      <c r="R13" s="62"/>
      <c r="S13" s="62"/>
      <c r="T13" s="27" t="str">
        <f t="shared" si="0"/>
        <v>A</v>
      </c>
      <c r="U13" s="60" t="s">
        <v>43</v>
      </c>
      <c r="V13" s="60" t="s">
        <v>47</v>
      </c>
      <c r="W13" s="60" t="s">
        <v>67</v>
      </c>
      <c r="X13" s="61">
        <v>45070</v>
      </c>
      <c r="Y13" s="270">
        <v>903063</v>
      </c>
      <c r="Z13" s="261" t="s">
        <v>377</v>
      </c>
      <c r="AA13" s="60" t="s">
        <v>107</v>
      </c>
      <c r="AB13" s="60" t="s">
        <v>107</v>
      </c>
      <c r="AC13" s="60"/>
      <c r="AD13" s="60"/>
      <c r="AE13" s="60"/>
      <c r="AF13" s="60" t="s">
        <v>312</v>
      </c>
      <c r="AG13" s="60"/>
      <c r="AH13" s="2"/>
      <c r="AI13" s="708"/>
      <c r="AJ13" s="709"/>
      <c r="AK13" s="709"/>
      <c r="AL13" s="710"/>
      <c r="AM13" s="757"/>
      <c r="AN13" s="758"/>
      <c r="AP13" s="6"/>
      <c r="AR13" s="755" t="s">
        <v>166</v>
      </c>
      <c r="AS13" s="752" t="s">
        <v>167</v>
      </c>
      <c r="AT13" s="753"/>
      <c r="AU13" s="754" t="s">
        <v>168</v>
      </c>
      <c r="AV13" s="753"/>
    </row>
    <row r="14" spans="1:48" ht="13.5" thickBot="1" x14ac:dyDescent="0.3">
      <c r="A14" s="269">
        <v>12</v>
      </c>
      <c r="B14" s="60" t="s">
        <v>358</v>
      </c>
      <c r="C14" s="60">
        <v>10</v>
      </c>
      <c r="D14" s="61">
        <v>45071</v>
      </c>
      <c r="E14" s="60" t="s">
        <v>386</v>
      </c>
      <c r="F14" s="60">
        <v>200302</v>
      </c>
      <c r="G14" s="60" t="s">
        <v>43</v>
      </c>
      <c r="H14" s="60" t="s">
        <v>52</v>
      </c>
      <c r="I14" s="62">
        <v>0.1</v>
      </c>
      <c r="J14" s="62"/>
      <c r="K14" s="62">
        <v>0.1</v>
      </c>
      <c r="L14" s="62"/>
      <c r="M14" s="62"/>
      <c r="N14" s="62"/>
      <c r="O14" s="62"/>
      <c r="P14" s="62"/>
      <c r="Q14" s="62"/>
      <c r="R14" s="62"/>
      <c r="S14" s="62"/>
      <c r="T14" s="27" t="str">
        <f t="shared" si="0"/>
        <v>A</v>
      </c>
      <c r="U14" s="60" t="s">
        <v>43</v>
      </c>
      <c r="V14" s="60" t="s">
        <v>47</v>
      </c>
      <c r="W14" s="60" t="s">
        <v>67</v>
      </c>
      <c r="X14" s="61">
        <v>45071</v>
      </c>
      <c r="Y14" s="270">
        <v>903068</v>
      </c>
      <c r="Z14" s="261" t="s">
        <v>387</v>
      </c>
      <c r="AA14" s="60" t="s">
        <v>107</v>
      </c>
      <c r="AB14" s="60" t="s">
        <v>107</v>
      </c>
      <c r="AC14" s="60"/>
      <c r="AD14" s="60"/>
      <c r="AE14" s="60"/>
      <c r="AF14" s="60" t="s">
        <v>388</v>
      </c>
      <c r="AG14" s="60"/>
      <c r="AH14" s="4"/>
      <c r="AI14" s="686"/>
      <c r="AJ14" s="687"/>
      <c r="AK14" s="687"/>
      <c r="AL14" s="688"/>
      <c r="AM14" s="691"/>
      <c r="AN14" s="692"/>
      <c r="AP14" s="6"/>
      <c r="AR14" s="756"/>
      <c r="AS14" s="161" t="s">
        <v>172</v>
      </c>
      <c r="AT14" s="162" t="s">
        <v>173</v>
      </c>
      <c r="AU14" s="163" t="s">
        <v>172</v>
      </c>
      <c r="AV14" s="162" t="s">
        <v>173</v>
      </c>
    </row>
    <row r="15" spans="1:48" ht="13" x14ac:dyDescent="0.25">
      <c r="A15" s="271">
        <v>13</v>
      </c>
      <c r="B15" s="60" t="s">
        <v>358</v>
      </c>
      <c r="C15" s="60">
        <v>11</v>
      </c>
      <c r="D15" s="61">
        <v>45081</v>
      </c>
      <c r="E15" s="60" t="s">
        <v>389</v>
      </c>
      <c r="F15" s="60">
        <v>200329</v>
      </c>
      <c r="G15" s="60" t="s">
        <v>43</v>
      </c>
      <c r="H15" s="60" t="s">
        <v>52</v>
      </c>
      <c r="I15" s="62">
        <v>0.1</v>
      </c>
      <c r="J15" s="62"/>
      <c r="K15" s="62">
        <v>0.1</v>
      </c>
      <c r="L15" s="62"/>
      <c r="M15" s="62"/>
      <c r="N15" s="62"/>
      <c r="O15" s="62"/>
      <c r="P15" s="62"/>
      <c r="Q15" s="62"/>
      <c r="R15" s="62"/>
      <c r="S15" s="62"/>
      <c r="T15" s="27" t="str">
        <f t="shared" si="0"/>
        <v>A</v>
      </c>
      <c r="U15" s="60" t="s">
        <v>43</v>
      </c>
      <c r="V15" s="60" t="s">
        <v>47</v>
      </c>
      <c r="W15" s="60" t="s">
        <v>67</v>
      </c>
      <c r="X15" s="61">
        <v>45082</v>
      </c>
      <c r="Y15" s="270" t="s">
        <v>390</v>
      </c>
      <c r="Z15" s="261" t="s">
        <v>364</v>
      </c>
      <c r="AA15" s="60" t="s">
        <v>107</v>
      </c>
      <c r="AB15" s="60" t="s">
        <v>107</v>
      </c>
      <c r="AC15" s="60"/>
      <c r="AD15" s="60"/>
      <c r="AE15" s="60"/>
      <c r="AF15" s="64" t="s">
        <v>391</v>
      </c>
      <c r="AG15" s="60"/>
      <c r="AH15" s="4"/>
      <c r="AI15" s="683"/>
      <c r="AJ15" s="684"/>
      <c r="AK15" s="684"/>
      <c r="AL15" s="685"/>
      <c r="AM15" s="689"/>
      <c r="AN15" s="690"/>
      <c r="AP15" s="6"/>
      <c r="AR15" s="286" t="s">
        <v>151</v>
      </c>
      <c r="AS15" s="165">
        <f>COUNTIFS($H$3:$H$152,"MSO",$AA$3:$AA$152,"Y",$V$3:$V$152,"H")</f>
        <v>0</v>
      </c>
      <c r="AT15" s="498">
        <f>SUMIFS($J$3:$J$152,$B$3:$B$152,$AR15,$AA$3:$AA$152,"Y",$V$3:$V$152,"H")</f>
        <v>0</v>
      </c>
      <c r="AU15" s="165">
        <f t="shared" ref="AU15:AU26" si="2">COUNTIFS($H$3:$H$152,$AR15,$AA$3:$AA$152,"Y",$V$3:$V$152,"L")</f>
        <v>1</v>
      </c>
      <c r="AV15" s="498">
        <f>SUMIFS($J$3:$J$152,$B$3:$B$152,"MSO",$AA$3:$AA$152,"Y",$V$3:$V$152,"L")+SUMIFS($J$3:$J$152,$B$3:$B$152,"CLW",$AA$3:$AA$152,"Y",$V$3:$V$152,"L")</f>
        <v>418.1</v>
      </c>
    </row>
    <row r="16" spans="1:48" ht="13" x14ac:dyDescent="0.25">
      <c r="A16" s="269">
        <v>14</v>
      </c>
      <c r="B16" s="60" t="s">
        <v>358</v>
      </c>
      <c r="C16" s="60">
        <v>12</v>
      </c>
      <c r="D16" s="61">
        <v>45082</v>
      </c>
      <c r="E16" s="60" t="s">
        <v>392</v>
      </c>
      <c r="F16" s="60">
        <v>200332</v>
      </c>
      <c r="G16" s="60" t="s">
        <v>43</v>
      </c>
      <c r="H16" s="60" t="s">
        <v>220</v>
      </c>
      <c r="I16" s="62">
        <v>0.1</v>
      </c>
      <c r="J16" s="62"/>
      <c r="K16" s="62"/>
      <c r="L16" s="62"/>
      <c r="M16" s="62" t="s">
        <v>220</v>
      </c>
      <c r="N16" s="62">
        <v>0.1</v>
      </c>
      <c r="O16" s="62"/>
      <c r="P16" s="62"/>
      <c r="Q16" s="62"/>
      <c r="R16" s="62"/>
      <c r="S16" s="62"/>
      <c r="T16" s="27" t="str">
        <f t="shared" si="0"/>
        <v>A</v>
      </c>
      <c r="U16" s="60" t="s">
        <v>43</v>
      </c>
      <c r="V16" s="60" t="s">
        <v>47</v>
      </c>
      <c r="W16" s="60" t="s">
        <v>67</v>
      </c>
      <c r="X16" s="61">
        <v>45082</v>
      </c>
      <c r="Y16" s="270">
        <v>903075</v>
      </c>
      <c r="Z16" s="261" t="s">
        <v>377</v>
      </c>
      <c r="AA16" s="60" t="s">
        <v>107</v>
      </c>
      <c r="AB16" s="60" t="s">
        <v>107</v>
      </c>
      <c r="AC16" s="60"/>
      <c r="AD16" s="60"/>
      <c r="AE16" s="60"/>
      <c r="AF16" s="60" t="s">
        <v>312</v>
      </c>
      <c r="AG16" s="60"/>
      <c r="AH16" s="4"/>
      <c r="AI16" s="686"/>
      <c r="AJ16" s="687"/>
      <c r="AK16" s="687"/>
      <c r="AL16" s="688"/>
      <c r="AM16" s="691"/>
      <c r="AN16" s="692"/>
      <c r="AP16" s="6"/>
      <c r="AR16" s="287" t="s">
        <v>52</v>
      </c>
      <c r="AS16" s="171">
        <f>COUNTIFS($H$3:$H$152,$AR16,$AA$3:$AA$152,"Y",$V$3:$V$152,"H")</f>
        <v>4</v>
      </c>
      <c r="AT16" s="509">
        <f>SUMIFS($K$3:$K$152,$AA$3:$AA$152,"Y",$V$3:$V$152,"H")</f>
        <v>0.4</v>
      </c>
      <c r="AU16" s="171">
        <f t="shared" si="2"/>
        <v>1</v>
      </c>
      <c r="AV16" s="509">
        <f>SUMIFS($K$3:$K$152,$AA$3:$AA$152,"Y",$V$3:$V$152,"L")</f>
        <v>5495</v>
      </c>
    </row>
    <row r="17" spans="1:48" ht="13" x14ac:dyDescent="0.25">
      <c r="A17" s="271">
        <v>15</v>
      </c>
      <c r="B17" s="60" t="s">
        <v>358</v>
      </c>
      <c r="C17" s="60">
        <v>13</v>
      </c>
      <c r="D17" s="61">
        <v>45109</v>
      </c>
      <c r="E17" s="60" t="s">
        <v>393</v>
      </c>
      <c r="F17" s="60">
        <v>200463</v>
      </c>
      <c r="G17" s="60" t="s">
        <v>43</v>
      </c>
      <c r="H17" s="60" t="s">
        <v>52</v>
      </c>
      <c r="I17" s="62">
        <v>0.1</v>
      </c>
      <c r="J17" s="62"/>
      <c r="K17" s="62">
        <v>0.1</v>
      </c>
      <c r="L17" s="62"/>
      <c r="M17" s="62"/>
      <c r="N17" s="62"/>
      <c r="O17" s="62"/>
      <c r="P17" s="62"/>
      <c r="Q17" s="62"/>
      <c r="R17" s="62"/>
      <c r="S17" s="62"/>
      <c r="T17" s="27" t="str">
        <f t="shared" si="0"/>
        <v>A</v>
      </c>
      <c r="U17" s="60" t="s">
        <v>43</v>
      </c>
      <c r="V17" s="60" t="s">
        <v>47</v>
      </c>
      <c r="W17" s="60" t="s">
        <v>67</v>
      </c>
      <c r="X17" s="61">
        <v>45110</v>
      </c>
      <c r="Y17" s="270">
        <v>903104</v>
      </c>
      <c r="Z17" s="261" t="s">
        <v>394</v>
      </c>
      <c r="AA17" s="60" t="s">
        <v>107</v>
      </c>
      <c r="AB17" s="60" t="s">
        <v>107</v>
      </c>
      <c r="AC17" s="60"/>
      <c r="AD17" s="60"/>
      <c r="AE17" s="60"/>
      <c r="AF17" s="60" t="s">
        <v>395</v>
      </c>
      <c r="AG17" s="60"/>
      <c r="AH17" s="2"/>
      <c r="AI17" s="683"/>
      <c r="AJ17" s="684"/>
      <c r="AK17" s="684"/>
      <c r="AL17" s="685"/>
      <c r="AM17" s="689"/>
      <c r="AN17" s="690"/>
      <c r="AP17" s="6"/>
      <c r="AR17" s="287" t="s">
        <v>217</v>
      </c>
      <c r="AS17" s="171">
        <f t="shared" ref="AS17:AS26" si="3">COUNTIFS($H$3:$H$152,$AR17,$AA$3:$AA$152,"Y",$V$3:$V$152,"H")</f>
        <v>0</v>
      </c>
      <c r="AT17" s="509">
        <f>SUMIFS($L$3:$L$152,$AA$3:$AA$152,"Y",$V$3:$V$152,"H")</f>
        <v>0</v>
      </c>
      <c r="AU17" s="171">
        <f t="shared" si="2"/>
        <v>0</v>
      </c>
      <c r="AV17" s="509">
        <f>SUMIFS($L$3:$L$152,$AA$3:$AA$152,"Y",$V$3:$V$152,"L")</f>
        <v>0</v>
      </c>
    </row>
    <row r="18" spans="1:48" ht="13" x14ac:dyDescent="0.25">
      <c r="A18" s="269">
        <v>16</v>
      </c>
      <c r="B18" s="60" t="s">
        <v>358</v>
      </c>
      <c r="C18" s="60">
        <v>14</v>
      </c>
      <c r="D18" s="61">
        <v>45111</v>
      </c>
      <c r="E18" s="60" t="s">
        <v>396</v>
      </c>
      <c r="F18" s="60">
        <v>200473</v>
      </c>
      <c r="G18" s="60" t="s">
        <v>43</v>
      </c>
      <c r="H18" s="60" t="s">
        <v>220</v>
      </c>
      <c r="I18" s="62">
        <v>0.1</v>
      </c>
      <c r="J18" s="62"/>
      <c r="K18" s="62"/>
      <c r="L18" s="62"/>
      <c r="M18" s="62" t="s">
        <v>220</v>
      </c>
      <c r="N18" s="62">
        <v>0.1</v>
      </c>
      <c r="O18" s="62"/>
      <c r="P18" s="62"/>
      <c r="Q18" s="62"/>
      <c r="R18" s="62"/>
      <c r="S18" s="62"/>
      <c r="T18" s="27" t="str">
        <f t="shared" si="0"/>
        <v>A</v>
      </c>
      <c r="U18" s="60" t="s">
        <v>43</v>
      </c>
      <c r="V18" s="60" t="s">
        <v>47</v>
      </c>
      <c r="W18" s="60" t="s">
        <v>67</v>
      </c>
      <c r="X18" s="61">
        <v>45111</v>
      </c>
      <c r="Y18" s="270">
        <v>903108</v>
      </c>
      <c r="Z18" s="261" t="s">
        <v>394</v>
      </c>
      <c r="AA18" s="60" t="s">
        <v>107</v>
      </c>
      <c r="AB18" s="60" t="s">
        <v>107</v>
      </c>
      <c r="AC18" s="60"/>
      <c r="AD18" s="60"/>
      <c r="AE18" s="60"/>
      <c r="AF18" s="64" t="s">
        <v>361</v>
      </c>
      <c r="AG18" s="60"/>
      <c r="AH18" s="3"/>
      <c r="AI18" s="686"/>
      <c r="AJ18" s="687"/>
      <c r="AK18" s="687"/>
      <c r="AL18" s="688"/>
      <c r="AM18" s="691"/>
      <c r="AN18" s="692"/>
      <c r="AP18" s="6"/>
      <c r="AR18" s="288" t="s">
        <v>220</v>
      </c>
      <c r="AS18" s="171">
        <f t="shared" si="3"/>
        <v>21</v>
      </c>
      <c r="AT18" s="509">
        <f>SUMIFS($N$3:$N$157,$M$3:$M$157,$AR18,$V$3:$V$157,"H",$AA$3:$AA$157,"Y")+SUMIFS($Q$3:$Q$157,$P$3:$P$157,$AR18,$V$3:$V$157,"H",$AA$3:$AA$157,"Y")+SUMIFS($S$3:$S$157,$R$3:$R$157,$AR18,$V$3:$V$157,"H",$AA$3:$AA$157,"Y")</f>
        <v>14.329999999999998</v>
      </c>
      <c r="AU18" s="171">
        <f t="shared" si="2"/>
        <v>1</v>
      </c>
      <c r="AV18" s="509">
        <f>SUMIFS($N$3:$N$157,$M$3:$M$157,$AR18,$V$3:$V$157,"L",$AA$3:$AA$157,"Y")+SUMIFS($Q$3:$Q$157,$P$3:$P$157,$AR18,$V$3:$V$157,"L",$AA$3:$AA$157,"Y")+SUMIFS($S$3:$S$157,$R$3:$R$157,$AR18,$V$3:$V$157,"L",$AA$3:$AA$157,"Y")</f>
        <v>0.1</v>
      </c>
    </row>
    <row r="19" spans="1:48" ht="13" x14ac:dyDescent="0.25">
      <c r="A19" s="271">
        <v>17</v>
      </c>
      <c r="B19" s="60" t="s">
        <v>75</v>
      </c>
      <c r="C19" s="60">
        <v>3</v>
      </c>
      <c r="D19" s="61">
        <v>45113</v>
      </c>
      <c r="E19" s="60" t="s">
        <v>397</v>
      </c>
      <c r="F19" s="60">
        <v>200488</v>
      </c>
      <c r="G19" s="60" t="s">
        <v>43</v>
      </c>
      <c r="H19" s="60" t="s">
        <v>232</v>
      </c>
      <c r="I19" s="62">
        <v>0.1</v>
      </c>
      <c r="J19" s="62"/>
      <c r="K19" s="62"/>
      <c r="L19" s="62"/>
      <c r="M19" s="62" t="s">
        <v>232</v>
      </c>
      <c r="N19" s="62">
        <v>0.1</v>
      </c>
      <c r="O19" s="62"/>
      <c r="P19" s="62"/>
      <c r="Q19" s="62"/>
      <c r="R19" s="62"/>
      <c r="S19" s="62"/>
      <c r="T19" s="27" t="str">
        <f t="shared" si="0"/>
        <v>A</v>
      </c>
      <c r="U19" s="60" t="s">
        <v>43</v>
      </c>
      <c r="V19" s="60" t="s">
        <v>47</v>
      </c>
      <c r="W19" s="60" t="s">
        <v>67</v>
      </c>
      <c r="X19" s="61">
        <v>45127</v>
      </c>
      <c r="Y19" s="270" t="s">
        <v>398</v>
      </c>
      <c r="Z19" s="261" t="s">
        <v>43</v>
      </c>
      <c r="AA19" s="60" t="s">
        <v>107</v>
      </c>
      <c r="AB19" s="60" t="s">
        <v>107</v>
      </c>
      <c r="AC19" s="60"/>
      <c r="AD19" s="60"/>
      <c r="AE19" s="60"/>
      <c r="AF19" s="60" t="s">
        <v>399</v>
      </c>
      <c r="AG19" s="60"/>
      <c r="AH19" s="3"/>
      <c r="AI19" s="683"/>
      <c r="AJ19" s="684"/>
      <c r="AK19" s="684"/>
      <c r="AL19" s="685"/>
      <c r="AM19" s="689"/>
      <c r="AN19" s="690"/>
      <c r="AP19" s="6"/>
      <c r="AR19" s="288" t="s">
        <v>222</v>
      </c>
      <c r="AS19" s="171">
        <f t="shared" si="3"/>
        <v>0</v>
      </c>
      <c r="AT19" s="509">
        <f t="shared" ref="AT19:AT25" si="4">SUMIFS($N$3:$N$157,$M$3:$M$157,$AR19,$V$3:$V$157,"H",$AA$3:$AA$157,"Y")+SUMIFS($Q$3:$Q$157,$P$3:$P$157,$AR19,$V$3:$V$157,"H",$AA$3:$AA$157,"Y")+SUMIFS($S$3:$S$157,$R$3:$R$157,$AR19,$V$3:$V$157,"H",$AA$3:$AA$157,"Y")</f>
        <v>0</v>
      </c>
      <c r="AU19" s="171">
        <f t="shared" si="2"/>
        <v>0</v>
      </c>
      <c r="AV19" s="509">
        <f t="shared" ref="AV19:AV26" si="5">SUMIFS($N$3:$N$157,$M$3:$M$157,$AR19,$V$3:$V$157,"L",$AA$3:$AA$157,"Y")+SUMIFS($Q$3:$Q$157,$P$3:$P$157,$AR19,$V$3:$V$157,"L",$AA$3:$AA$157,"Y")+SUMIFS($S$3:$S$157,$R$3:$R$157,$AR19,$V$3:$V$157,"L",$AA$3:$AA$157,"Y")</f>
        <v>0</v>
      </c>
    </row>
    <row r="20" spans="1:48" ht="13" x14ac:dyDescent="0.25">
      <c r="A20" s="269">
        <v>18</v>
      </c>
      <c r="B20" s="60" t="s">
        <v>75</v>
      </c>
      <c r="C20" s="60">
        <v>4</v>
      </c>
      <c r="D20" s="61">
        <v>45125</v>
      </c>
      <c r="E20" s="60" t="s">
        <v>76</v>
      </c>
      <c r="F20" s="60">
        <v>200549</v>
      </c>
      <c r="G20" s="60" t="s">
        <v>43</v>
      </c>
      <c r="H20" s="60" t="s">
        <v>52</v>
      </c>
      <c r="I20" s="62">
        <v>7154</v>
      </c>
      <c r="J20" s="62">
        <v>418</v>
      </c>
      <c r="K20" s="62">
        <v>5495</v>
      </c>
      <c r="L20" s="62"/>
      <c r="M20" s="62"/>
      <c r="N20" s="62"/>
      <c r="O20" s="62"/>
      <c r="P20" s="62" t="s">
        <v>77</v>
      </c>
      <c r="Q20" s="62">
        <v>1241</v>
      </c>
      <c r="R20" s="62"/>
      <c r="S20" s="62"/>
      <c r="T20" s="27" t="str">
        <f t="shared" si="0"/>
        <v>G</v>
      </c>
      <c r="U20" s="60" t="s">
        <v>43</v>
      </c>
      <c r="V20" s="60" t="s">
        <v>54</v>
      </c>
      <c r="W20" s="60" t="s">
        <v>67</v>
      </c>
      <c r="X20" s="61">
        <v>45229</v>
      </c>
      <c r="Y20" s="270" t="s">
        <v>78</v>
      </c>
      <c r="Z20" s="261" t="s">
        <v>394</v>
      </c>
      <c r="AA20" s="60" t="s">
        <v>107</v>
      </c>
      <c r="AB20" s="60" t="s">
        <v>107</v>
      </c>
      <c r="AC20" s="60"/>
      <c r="AD20" s="60" t="s">
        <v>107</v>
      </c>
      <c r="AE20" s="64"/>
      <c r="AF20" s="64" t="s">
        <v>400</v>
      </c>
      <c r="AG20" s="60"/>
      <c r="AH20" s="3"/>
      <c r="AI20" s="686"/>
      <c r="AJ20" s="687"/>
      <c r="AK20" s="687"/>
      <c r="AL20" s="688"/>
      <c r="AM20" s="691"/>
      <c r="AN20" s="692"/>
      <c r="AP20" s="6"/>
      <c r="AR20" s="288" t="s">
        <v>224</v>
      </c>
      <c r="AS20" s="171">
        <f t="shared" si="3"/>
        <v>0</v>
      </c>
      <c r="AT20" s="509">
        <f t="shared" si="4"/>
        <v>0</v>
      </c>
      <c r="AU20" s="171">
        <f t="shared" si="2"/>
        <v>0</v>
      </c>
      <c r="AV20" s="509">
        <f t="shared" si="5"/>
        <v>0</v>
      </c>
    </row>
    <row r="21" spans="1:48" ht="13" x14ac:dyDescent="0.25">
      <c r="A21" s="271">
        <v>19</v>
      </c>
      <c r="B21" s="60" t="s">
        <v>75</v>
      </c>
      <c r="C21" s="60">
        <v>5</v>
      </c>
      <c r="D21" s="61">
        <v>45126</v>
      </c>
      <c r="E21" s="60" t="s">
        <v>401</v>
      </c>
      <c r="F21" s="60">
        <v>200555</v>
      </c>
      <c r="G21" s="60" t="s">
        <v>43</v>
      </c>
      <c r="H21" s="60" t="s">
        <v>220</v>
      </c>
      <c r="I21" s="62">
        <v>0.25</v>
      </c>
      <c r="J21" s="62"/>
      <c r="K21" s="62"/>
      <c r="L21" s="62"/>
      <c r="M21" s="62" t="s">
        <v>220</v>
      </c>
      <c r="N21" s="62">
        <v>0.25</v>
      </c>
      <c r="O21" s="62"/>
      <c r="P21" s="62"/>
      <c r="Q21" s="62"/>
      <c r="R21" s="62"/>
      <c r="S21" s="62"/>
      <c r="T21" s="27" t="str">
        <f t="shared" si="0"/>
        <v>A</v>
      </c>
      <c r="U21" s="60" t="s">
        <v>43</v>
      </c>
      <c r="V21" s="60" t="s">
        <v>47</v>
      </c>
      <c r="W21" s="60" t="s">
        <v>67</v>
      </c>
      <c r="X21" s="61">
        <v>45128</v>
      </c>
      <c r="Y21" s="270" t="s">
        <v>402</v>
      </c>
      <c r="Z21" s="261" t="s">
        <v>403</v>
      </c>
      <c r="AA21" s="60" t="s">
        <v>107</v>
      </c>
      <c r="AB21" s="60" t="s">
        <v>107</v>
      </c>
      <c r="AC21" s="60"/>
      <c r="AD21" s="60"/>
      <c r="AE21" s="60" t="s">
        <v>263</v>
      </c>
      <c r="AF21" s="60" t="s">
        <v>404</v>
      </c>
      <c r="AG21" s="60"/>
      <c r="AH21" s="3"/>
      <c r="AI21" s="683"/>
      <c r="AJ21" s="684"/>
      <c r="AK21" s="684"/>
      <c r="AL21" s="685"/>
      <c r="AM21" s="689"/>
      <c r="AN21" s="690"/>
      <c r="AP21" s="6"/>
      <c r="AR21" s="288" t="s">
        <v>227</v>
      </c>
      <c r="AS21" s="171">
        <f t="shared" si="3"/>
        <v>0</v>
      </c>
      <c r="AT21" s="509">
        <f t="shared" si="4"/>
        <v>0</v>
      </c>
      <c r="AU21" s="171">
        <f t="shared" si="2"/>
        <v>0</v>
      </c>
      <c r="AV21" s="509">
        <f t="shared" si="5"/>
        <v>0</v>
      </c>
    </row>
    <row r="22" spans="1:48" ht="13" x14ac:dyDescent="0.25">
      <c r="A22" s="269">
        <v>20</v>
      </c>
      <c r="B22" s="60" t="s">
        <v>75</v>
      </c>
      <c r="C22" s="60">
        <v>6</v>
      </c>
      <c r="D22" s="61">
        <v>45127</v>
      </c>
      <c r="E22" s="60" t="s">
        <v>405</v>
      </c>
      <c r="F22" s="60">
        <v>200565</v>
      </c>
      <c r="G22" s="60" t="s">
        <v>43</v>
      </c>
      <c r="H22" s="60" t="s">
        <v>220</v>
      </c>
      <c r="I22" s="62">
        <v>0.1</v>
      </c>
      <c r="J22" s="62"/>
      <c r="K22" s="62"/>
      <c r="L22" s="62"/>
      <c r="M22" s="62" t="s">
        <v>220</v>
      </c>
      <c r="N22" s="62">
        <v>0.1</v>
      </c>
      <c r="O22" s="62"/>
      <c r="P22" s="62"/>
      <c r="Q22" s="62"/>
      <c r="R22" s="62"/>
      <c r="S22" s="62"/>
      <c r="T22" s="27" t="str">
        <f t="shared" si="0"/>
        <v>A</v>
      </c>
      <c r="U22" s="60" t="s">
        <v>43</v>
      </c>
      <c r="V22" s="60" t="s">
        <v>47</v>
      </c>
      <c r="W22" s="60" t="s">
        <v>67</v>
      </c>
      <c r="X22" s="61">
        <v>45127</v>
      </c>
      <c r="Y22" s="270" t="s">
        <v>406</v>
      </c>
      <c r="Z22" s="261" t="s">
        <v>407</v>
      </c>
      <c r="AA22" s="60" t="s">
        <v>107</v>
      </c>
      <c r="AB22" s="60" t="s">
        <v>107</v>
      </c>
      <c r="AC22" s="60"/>
      <c r="AD22" s="60"/>
      <c r="AE22" s="60"/>
      <c r="AF22" s="60" t="s">
        <v>404</v>
      </c>
      <c r="AG22" s="60"/>
      <c r="AH22" s="3"/>
      <c r="AI22" s="686"/>
      <c r="AJ22" s="687"/>
      <c r="AK22" s="687"/>
      <c r="AL22" s="688"/>
      <c r="AM22" s="691"/>
      <c r="AN22" s="692"/>
      <c r="AP22" s="6"/>
      <c r="AR22" s="288" t="s">
        <v>229</v>
      </c>
      <c r="AS22" s="171">
        <f t="shared" si="3"/>
        <v>0</v>
      </c>
      <c r="AT22" s="509">
        <f t="shared" si="4"/>
        <v>0</v>
      </c>
      <c r="AU22" s="171">
        <f t="shared" si="2"/>
        <v>0</v>
      </c>
      <c r="AV22" s="509">
        <f t="shared" si="5"/>
        <v>0</v>
      </c>
    </row>
    <row r="23" spans="1:48" ht="13" x14ac:dyDescent="0.25">
      <c r="A23" s="271">
        <v>21</v>
      </c>
      <c r="B23" s="60" t="s">
        <v>358</v>
      </c>
      <c r="C23" s="60">
        <v>15</v>
      </c>
      <c r="D23" s="61">
        <v>45127</v>
      </c>
      <c r="E23" s="60" t="s">
        <v>408</v>
      </c>
      <c r="F23" s="60">
        <v>200566</v>
      </c>
      <c r="G23" s="60" t="s">
        <v>43</v>
      </c>
      <c r="H23" s="60" t="s">
        <v>220</v>
      </c>
      <c r="I23" s="62">
        <v>1.5</v>
      </c>
      <c r="J23" s="62"/>
      <c r="K23" s="62"/>
      <c r="L23" s="62"/>
      <c r="M23" s="62" t="s">
        <v>220</v>
      </c>
      <c r="N23" s="62">
        <v>1.5</v>
      </c>
      <c r="O23" s="62"/>
      <c r="P23" s="62"/>
      <c r="Q23" s="62"/>
      <c r="R23" s="62"/>
      <c r="S23" s="62"/>
      <c r="T23" s="27" t="str">
        <f t="shared" si="0"/>
        <v>B</v>
      </c>
      <c r="U23" s="60" t="s">
        <v>43</v>
      </c>
      <c r="V23" s="60" t="s">
        <v>47</v>
      </c>
      <c r="W23" s="60" t="s">
        <v>67</v>
      </c>
      <c r="X23" s="61">
        <v>45130</v>
      </c>
      <c r="Y23" s="270" t="s">
        <v>409</v>
      </c>
      <c r="Z23" s="261" t="s">
        <v>410</v>
      </c>
      <c r="AA23" s="60" t="s">
        <v>107</v>
      </c>
      <c r="AB23" s="60" t="s">
        <v>107</v>
      </c>
      <c r="AC23" s="60"/>
      <c r="AD23" s="60"/>
      <c r="AE23" s="60"/>
      <c r="AF23" s="64" t="s">
        <v>411</v>
      </c>
      <c r="AG23" s="60"/>
      <c r="AH23" s="2"/>
      <c r="AI23" s="683"/>
      <c r="AJ23" s="684"/>
      <c r="AK23" s="684"/>
      <c r="AL23" s="685"/>
      <c r="AM23" s="689"/>
      <c r="AN23" s="690"/>
      <c r="AP23" s="6"/>
      <c r="AR23" s="288" t="s">
        <v>232</v>
      </c>
      <c r="AS23" s="171">
        <f t="shared" si="3"/>
        <v>1</v>
      </c>
      <c r="AT23" s="509">
        <f t="shared" si="4"/>
        <v>0.1</v>
      </c>
      <c r="AU23" s="171">
        <f t="shared" si="2"/>
        <v>0</v>
      </c>
      <c r="AV23" s="509">
        <f t="shared" si="5"/>
        <v>0</v>
      </c>
    </row>
    <row r="24" spans="1:48" ht="13" x14ac:dyDescent="0.25">
      <c r="A24" s="269">
        <v>22</v>
      </c>
      <c r="B24" s="60" t="s">
        <v>75</v>
      </c>
      <c r="C24" s="60">
        <v>7</v>
      </c>
      <c r="D24" s="61">
        <v>45129</v>
      </c>
      <c r="E24" s="60" t="s">
        <v>412</v>
      </c>
      <c r="F24" s="60">
        <v>200575</v>
      </c>
      <c r="G24" s="60" t="s">
        <v>43</v>
      </c>
      <c r="H24" s="60" t="s">
        <v>220</v>
      </c>
      <c r="I24" s="62">
        <v>0.1</v>
      </c>
      <c r="J24" s="62"/>
      <c r="K24" s="62"/>
      <c r="L24" s="62"/>
      <c r="M24" s="62" t="s">
        <v>220</v>
      </c>
      <c r="N24" s="62">
        <v>0.1</v>
      </c>
      <c r="O24" s="62"/>
      <c r="P24" s="62"/>
      <c r="Q24" s="62"/>
      <c r="R24" s="62"/>
      <c r="S24" s="62"/>
      <c r="T24" s="27" t="str">
        <f t="shared" si="0"/>
        <v>A</v>
      </c>
      <c r="U24" s="60" t="s">
        <v>43</v>
      </c>
      <c r="V24" s="60" t="s">
        <v>47</v>
      </c>
      <c r="W24" s="60" t="s">
        <v>67</v>
      </c>
      <c r="X24" s="61">
        <v>45132</v>
      </c>
      <c r="Y24" s="270" t="s">
        <v>413</v>
      </c>
      <c r="Z24" s="261" t="s">
        <v>414</v>
      </c>
      <c r="AA24" s="60" t="s">
        <v>107</v>
      </c>
      <c r="AB24" s="60" t="s">
        <v>107</v>
      </c>
      <c r="AC24" s="60"/>
      <c r="AD24" s="60"/>
      <c r="AE24" s="60"/>
      <c r="AF24" s="60" t="s">
        <v>415</v>
      </c>
      <c r="AG24" s="60"/>
      <c r="AH24" s="3"/>
      <c r="AI24" s="686"/>
      <c r="AJ24" s="687"/>
      <c r="AK24" s="687"/>
      <c r="AL24" s="688"/>
      <c r="AM24" s="691"/>
      <c r="AN24" s="692"/>
      <c r="AP24" s="6"/>
      <c r="AR24" s="288" t="s">
        <v>44</v>
      </c>
      <c r="AS24" s="171">
        <f t="shared" si="3"/>
        <v>0</v>
      </c>
      <c r="AT24" s="509">
        <f t="shared" si="4"/>
        <v>0</v>
      </c>
      <c r="AU24" s="171">
        <f t="shared" si="2"/>
        <v>0</v>
      </c>
      <c r="AV24" s="509">
        <f t="shared" si="5"/>
        <v>0</v>
      </c>
    </row>
    <row r="25" spans="1:48" ht="13" x14ac:dyDescent="0.25">
      <c r="A25" s="271">
        <v>23</v>
      </c>
      <c r="B25" s="60" t="s">
        <v>75</v>
      </c>
      <c r="C25" s="60">
        <v>8</v>
      </c>
      <c r="D25" s="61">
        <v>45131</v>
      </c>
      <c r="E25" s="60" t="s">
        <v>416</v>
      </c>
      <c r="F25" s="60">
        <v>200585</v>
      </c>
      <c r="G25" s="60" t="s">
        <v>43</v>
      </c>
      <c r="H25" s="60" t="s">
        <v>151</v>
      </c>
      <c r="I25" s="62">
        <v>0.1</v>
      </c>
      <c r="J25" s="62">
        <v>0.1</v>
      </c>
      <c r="K25" s="62"/>
      <c r="L25" s="62"/>
      <c r="M25" s="62"/>
      <c r="N25" s="62"/>
      <c r="O25" s="62"/>
      <c r="P25" s="62"/>
      <c r="Q25" s="62"/>
      <c r="R25" s="62"/>
      <c r="S25" s="62"/>
      <c r="T25" s="27" t="str">
        <f t="shared" si="0"/>
        <v>A</v>
      </c>
      <c r="U25" s="60" t="s">
        <v>43</v>
      </c>
      <c r="V25" s="60" t="s">
        <v>54</v>
      </c>
      <c r="W25" s="60" t="s">
        <v>67</v>
      </c>
      <c r="X25" s="61">
        <v>45138</v>
      </c>
      <c r="Y25" s="270">
        <v>903191</v>
      </c>
      <c r="Z25" s="261" t="s">
        <v>417</v>
      </c>
      <c r="AA25" s="60" t="s">
        <v>107</v>
      </c>
      <c r="AB25" s="60" t="s">
        <v>107</v>
      </c>
      <c r="AC25" s="60"/>
      <c r="AD25" s="60"/>
      <c r="AE25" s="60"/>
      <c r="AF25" s="60" t="s">
        <v>418</v>
      </c>
      <c r="AG25" s="60"/>
      <c r="AH25" s="3"/>
      <c r="AI25" s="683"/>
      <c r="AJ25" s="684"/>
      <c r="AK25" s="684"/>
      <c r="AL25" s="685"/>
      <c r="AM25" s="689"/>
      <c r="AN25" s="690"/>
      <c r="AP25" s="6"/>
      <c r="AR25" s="288" t="s">
        <v>236</v>
      </c>
      <c r="AS25" s="171">
        <f t="shared" si="3"/>
        <v>0</v>
      </c>
      <c r="AT25" s="509">
        <f t="shared" si="4"/>
        <v>0</v>
      </c>
      <c r="AU25" s="171">
        <f t="shared" si="2"/>
        <v>0</v>
      </c>
      <c r="AV25" s="509">
        <f t="shared" si="5"/>
        <v>0</v>
      </c>
    </row>
    <row r="26" spans="1:48" ht="13" x14ac:dyDescent="0.25">
      <c r="A26" s="269">
        <v>24</v>
      </c>
      <c r="B26" s="60" t="s">
        <v>358</v>
      </c>
      <c r="C26" s="60">
        <v>16</v>
      </c>
      <c r="D26" s="61">
        <v>45131</v>
      </c>
      <c r="E26" s="60" t="s">
        <v>359</v>
      </c>
      <c r="F26" s="60">
        <v>200586</v>
      </c>
      <c r="G26" s="60" t="s">
        <v>43</v>
      </c>
      <c r="H26" s="60" t="s">
        <v>220</v>
      </c>
      <c r="I26" s="62">
        <v>2</v>
      </c>
      <c r="J26" s="62"/>
      <c r="K26" s="62"/>
      <c r="L26" s="62"/>
      <c r="M26" s="62" t="s">
        <v>220</v>
      </c>
      <c r="N26" s="62">
        <v>2</v>
      </c>
      <c r="O26" s="62"/>
      <c r="P26" s="62"/>
      <c r="Q26" s="62"/>
      <c r="R26" s="62"/>
      <c r="S26" s="62"/>
      <c r="T26" s="27" t="str">
        <f t="shared" si="0"/>
        <v>B</v>
      </c>
      <c r="U26" s="60" t="s">
        <v>43</v>
      </c>
      <c r="V26" s="60" t="s">
        <v>47</v>
      </c>
      <c r="W26" s="60" t="s">
        <v>67</v>
      </c>
      <c r="X26" s="61">
        <v>45134</v>
      </c>
      <c r="Y26" s="270" t="s">
        <v>419</v>
      </c>
      <c r="Z26" s="261" t="s">
        <v>107</v>
      </c>
      <c r="AA26" s="60" t="s">
        <v>107</v>
      </c>
      <c r="AB26" s="60" t="s">
        <v>107</v>
      </c>
      <c r="AC26" s="60"/>
      <c r="AD26" s="60"/>
      <c r="AE26" s="60"/>
      <c r="AF26" s="60" t="s">
        <v>420</v>
      </c>
      <c r="AG26" s="60"/>
      <c r="AH26" s="3"/>
      <c r="AI26" s="686"/>
      <c r="AJ26" s="687"/>
      <c r="AK26" s="687"/>
      <c r="AL26" s="688"/>
      <c r="AM26" s="691"/>
      <c r="AN26" s="692"/>
      <c r="AP26" s="6"/>
      <c r="AR26" s="288" t="s">
        <v>163</v>
      </c>
      <c r="AS26" s="171">
        <f t="shared" si="3"/>
        <v>0</v>
      </c>
      <c r="AT26" s="509">
        <f>SUMIFS($N$3:$N$157,$M$3:$M$157,$AR26,$V$3:$V$157,"H",$AA$3:$AA$157,"Y")+SUMIFS($Q$3:$Q$157,$P$3:$P$157,$AR26,$V$3:$V$157,"H",$AA$3:$AA$157,"Y")+SUMIFS($S$3:$S$157,$R$3:$R$157,$AR26,$V$3:$V$157,"H",$AA$3:$AA$157,"Y")</f>
        <v>0</v>
      </c>
      <c r="AU26" s="171">
        <f t="shared" si="2"/>
        <v>0</v>
      </c>
      <c r="AV26" s="509">
        <f t="shared" si="5"/>
        <v>0</v>
      </c>
    </row>
    <row r="27" spans="1:48" ht="13" x14ac:dyDescent="0.25">
      <c r="A27" s="271">
        <v>25</v>
      </c>
      <c r="B27" s="60" t="s">
        <v>358</v>
      </c>
      <c r="C27" s="60">
        <v>17</v>
      </c>
      <c r="D27" s="61">
        <v>45133</v>
      </c>
      <c r="E27" s="60" t="s">
        <v>214</v>
      </c>
      <c r="F27" s="60">
        <v>200606</v>
      </c>
      <c r="G27" s="60" t="s">
        <v>43</v>
      </c>
      <c r="H27" s="60" t="s">
        <v>220</v>
      </c>
      <c r="I27" s="62">
        <v>0.25</v>
      </c>
      <c r="J27" s="62"/>
      <c r="K27" s="62"/>
      <c r="L27" s="62"/>
      <c r="M27" s="62" t="s">
        <v>220</v>
      </c>
      <c r="N27" s="62">
        <v>0.25</v>
      </c>
      <c r="O27" s="62"/>
      <c r="P27" s="62"/>
      <c r="Q27" s="62"/>
      <c r="R27" s="62"/>
      <c r="S27" s="62"/>
      <c r="T27" s="27" t="str">
        <f t="shared" si="0"/>
        <v>A</v>
      </c>
      <c r="U27" s="60" t="s">
        <v>43</v>
      </c>
      <c r="V27" s="60" t="s">
        <v>47</v>
      </c>
      <c r="W27" s="60" t="s">
        <v>67</v>
      </c>
      <c r="X27" s="61">
        <v>45136</v>
      </c>
      <c r="Y27" s="270">
        <v>903204</v>
      </c>
      <c r="Z27" s="261" t="s">
        <v>421</v>
      </c>
      <c r="AA27" s="60" t="s">
        <v>107</v>
      </c>
      <c r="AB27" s="60" t="s">
        <v>107</v>
      </c>
      <c r="AC27" s="60"/>
      <c r="AD27" s="60"/>
      <c r="AE27" s="60"/>
      <c r="AF27" s="60" t="s">
        <v>422</v>
      </c>
      <c r="AG27" s="60"/>
      <c r="AH27" s="3"/>
      <c r="AI27" s="683"/>
      <c r="AJ27" s="684"/>
      <c r="AK27" s="684"/>
      <c r="AL27" s="685"/>
      <c r="AM27" s="689"/>
      <c r="AN27" s="690"/>
      <c r="AP27" s="6"/>
      <c r="AR27" s="288" t="s">
        <v>242</v>
      </c>
      <c r="AS27" s="171" t="s">
        <v>1</v>
      </c>
      <c r="AT27" s="509">
        <f>SUMIFS($O$3:$O$152,$AA$3:$AA$152,"Y",$V$3:$V$152,"H")</f>
        <v>0</v>
      </c>
      <c r="AU27" s="171" t="s">
        <v>1</v>
      </c>
      <c r="AV27" s="509">
        <f>SUMIFS($O$3:$O$152,$AA$3:$AA$152,"Y",$V$3:$V$152,"L")</f>
        <v>0</v>
      </c>
    </row>
    <row r="28" spans="1:48" ht="13" x14ac:dyDescent="0.25">
      <c r="A28" s="269">
        <v>26</v>
      </c>
      <c r="B28" s="60" t="s">
        <v>358</v>
      </c>
      <c r="C28" s="60">
        <v>18</v>
      </c>
      <c r="D28" s="61">
        <v>45137</v>
      </c>
      <c r="E28" s="60" t="s">
        <v>423</v>
      </c>
      <c r="F28" s="60">
        <v>200629</v>
      </c>
      <c r="G28" s="60" t="s">
        <v>43</v>
      </c>
      <c r="H28" s="60" t="s">
        <v>220</v>
      </c>
      <c r="I28" s="62">
        <v>0.1</v>
      </c>
      <c r="J28" s="62"/>
      <c r="K28" s="62"/>
      <c r="L28" s="62"/>
      <c r="M28" s="62" t="s">
        <v>220</v>
      </c>
      <c r="N28" s="62">
        <v>0.1</v>
      </c>
      <c r="O28" s="62"/>
      <c r="P28" s="62"/>
      <c r="Q28" s="62"/>
      <c r="R28" s="62"/>
      <c r="S28" s="62"/>
      <c r="T28" s="27" t="str">
        <f t="shared" si="0"/>
        <v>A</v>
      </c>
      <c r="U28" s="60" t="s">
        <v>43</v>
      </c>
      <c r="V28" s="60" t="s">
        <v>47</v>
      </c>
      <c r="W28" s="60" t="s">
        <v>67</v>
      </c>
      <c r="X28" s="61">
        <v>45138</v>
      </c>
      <c r="Y28" s="270"/>
      <c r="Z28" s="261" t="s">
        <v>43</v>
      </c>
      <c r="AA28" s="60" t="s">
        <v>107</v>
      </c>
      <c r="AB28" s="60" t="s">
        <v>107</v>
      </c>
      <c r="AC28" s="60"/>
      <c r="AD28" s="60"/>
      <c r="AE28" s="60" t="s">
        <v>424</v>
      </c>
      <c r="AF28" s="60" t="s">
        <v>425</v>
      </c>
      <c r="AG28" s="60"/>
      <c r="AH28" s="3"/>
      <c r="AI28" s="686"/>
      <c r="AJ28" s="687"/>
      <c r="AK28" s="687"/>
      <c r="AL28" s="688"/>
      <c r="AM28" s="691"/>
      <c r="AN28" s="692"/>
      <c r="AP28" s="6"/>
      <c r="AR28" s="288" t="s">
        <v>245</v>
      </c>
      <c r="AS28" s="171" t="s">
        <v>1</v>
      </c>
      <c r="AT28" s="509">
        <f>SUMIFS($S$3:$S$157,$R$3:$R$157,$AR28,$V$3:$V$157,"H",$AA$3:$AA$157,"Y")+SUMIFS($Q$3:$Q$157,$P$3:$P$157,$AR28,$V$3:$V$157,"H",$AA$3:$AA$157,"Y")</f>
        <v>0</v>
      </c>
      <c r="AU28" s="171" t="s">
        <v>1</v>
      </c>
      <c r="AV28" s="509">
        <f>SUMIFS($S$3:$S$157,$R$3:$R$157,$AR28,$V$3:$V$157,"L",$AA$3:$AA$157,"Y")+SUMIFS($Q$3:$Q$157,$P$3:$P$157,$AR28,$V$3:$V$157,"L",$AA$3:$AA$157,"Y")</f>
        <v>0</v>
      </c>
    </row>
    <row r="29" spans="1:48" ht="13" x14ac:dyDescent="0.25">
      <c r="A29" s="271">
        <v>27</v>
      </c>
      <c r="B29" s="60" t="s">
        <v>358</v>
      </c>
      <c r="C29" s="60">
        <v>19</v>
      </c>
      <c r="D29" s="61">
        <v>45149</v>
      </c>
      <c r="E29" s="60">
        <v>125</v>
      </c>
      <c r="F29" s="60">
        <v>200697</v>
      </c>
      <c r="G29" s="60" t="s">
        <v>43</v>
      </c>
      <c r="H29" s="60" t="s">
        <v>220</v>
      </c>
      <c r="I29" s="62">
        <v>0.1</v>
      </c>
      <c r="J29" s="62"/>
      <c r="K29" s="62"/>
      <c r="L29" s="62"/>
      <c r="M29" s="62" t="s">
        <v>220</v>
      </c>
      <c r="N29" s="62">
        <v>0.1</v>
      </c>
      <c r="O29" s="62"/>
      <c r="P29" s="62"/>
      <c r="Q29" s="62"/>
      <c r="R29" s="62"/>
      <c r="S29" s="62"/>
      <c r="T29" s="27" t="str">
        <f t="shared" si="0"/>
        <v>A</v>
      </c>
      <c r="U29" s="60" t="s">
        <v>43</v>
      </c>
      <c r="V29" s="60" t="s">
        <v>47</v>
      </c>
      <c r="W29" s="60" t="s">
        <v>67</v>
      </c>
      <c r="X29" s="61">
        <v>45150</v>
      </c>
      <c r="Y29" s="270">
        <v>903285</v>
      </c>
      <c r="Z29" s="261" t="s">
        <v>414</v>
      </c>
      <c r="AA29" s="60" t="s">
        <v>107</v>
      </c>
      <c r="AB29" s="60" t="s">
        <v>107</v>
      </c>
      <c r="AC29" s="60"/>
      <c r="AD29" s="60"/>
      <c r="AE29" s="60"/>
      <c r="AF29" s="60" t="s">
        <v>426</v>
      </c>
      <c r="AG29" s="60"/>
      <c r="AH29" s="3"/>
      <c r="AI29" s="683"/>
      <c r="AJ29" s="684"/>
      <c r="AK29" s="684"/>
      <c r="AL29" s="685"/>
      <c r="AM29" s="689"/>
      <c r="AN29" s="690"/>
      <c r="AP29" s="6"/>
      <c r="AR29" s="288" t="s">
        <v>249</v>
      </c>
      <c r="AS29" s="171" t="s">
        <v>1</v>
      </c>
      <c r="AT29" s="509">
        <f t="shared" ref="AT29:AT36" si="6">SUMIFS($S$3:$S$157,$R$3:$R$157,$AR29,$V$3:$V$157,"H",$AA$3:$AA$157,"Y")+SUMIFS($Q$3:$Q$157,$P$3:$P$157,$AR29,$V$3:$V$157,"H",$AA$3:$AA$157,"Y")</f>
        <v>0</v>
      </c>
      <c r="AU29" s="171" t="s">
        <v>1</v>
      </c>
      <c r="AV29" s="509">
        <f t="shared" ref="AV29:AV36" si="7">SUMIFS($S$3:$S$157,$R$3:$R$157,$AR29,$V$3:$V$157,"L",$AA$3:$AA$157,"Y")+SUMIFS($Q$3:$Q$157,$P$3:$P$157,$AR29,$V$3:$V$157,"L",$AA$3:$AA$157,"Y")</f>
        <v>0</v>
      </c>
    </row>
    <row r="30" spans="1:48" ht="13" x14ac:dyDescent="0.25">
      <c r="A30" s="269">
        <v>28</v>
      </c>
      <c r="B30" s="60" t="s">
        <v>358</v>
      </c>
      <c r="C30" s="60">
        <v>20</v>
      </c>
      <c r="D30" s="61">
        <v>45168</v>
      </c>
      <c r="E30" s="60" t="s">
        <v>427</v>
      </c>
      <c r="F30" s="60">
        <v>200779</v>
      </c>
      <c r="G30" s="60" t="s">
        <v>43</v>
      </c>
      <c r="H30" s="60" t="s">
        <v>220</v>
      </c>
      <c r="I30" s="62">
        <v>0.1</v>
      </c>
      <c r="J30" s="62"/>
      <c r="K30" s="62"/>
      <c r="L30" s="62"/>
      <c r="M30" s="62" t="s">
        <v>220</v>
      </c>
      <c r="N30" s="62">
        <v>0.1</v>
      </c>
      <c r="O30" s="62"/>
      <c r="P30" s="62"/>
      <c r="Q30" s="62"/>
      <c r="R30" s="62"/>
      <c r="S30" s="62"/>
      <c r="T30" s="27" t="str">
        <f t="shared" si="0"/>
        <v>A</v>
      </c>
      <c r="U30" s="60" t="s">
        <v>43</v>
      </c>
      <c r="V30" s="60" t="s">
        <v>54</v>
      </c>
      <c r="W30" s="60" t="s">
        <v>67</v>
      </c>
      <c r="X30" s="61">
        <v>45170</v>
      </c>
      <c r="Y30" s="270">
        <v>903344</v>
      </c>
      <c r="Z30" s="261" t="s">
        <v>421</v>
      </c>
      <c r="AA30" s="60" t="s">
        <v>107</v>
      </c>
      <c r="AB30" s="60" t="s">
        <v>107</v>
      </c>
      <c r="AC30" s="60"/>
      <c r="AD30" s="60"/>
      <c r="AE30" s="60"/>
      <c r="AF30" s="60" t="s">
        <v>319</v>
      </c>
      <c r="AG30" s="60"/>
      <c r="AH30" s="3"/>
      <c r="AI30" s="686"/>
      <c r="AJ30" s="687"/>
      <c r="AK30" s="687"/>
      <c r="AL30" s="688"/>
      <c r="AM30" s="691"/>
      <c r="AN30" s="692"/>
      <c r="AP30" s="6"/>
      <c r="AR30" s="288" t="s">
        <v>77</v>
      </c>
      <c r="AS30" s="171" t="s">
        <v>1</v>
      </c>
      <c r="AT30" s="509">
        <f t="shared" si="6"/>
        <v>0</v>
      </c>
      <c r="AU30" s="171" t="s">
        <v>1</v>
      </c>
      <c r="AV30" s="509">
        <f t="shared" si="7"/>
        <v>1241</v>
      </c>
    </row>
    <row r="31" spans="1:48" ht="13" x14ac:dyDescent="0.25">
      <c r="A31" s="271">
        <v>29</v>
      </c>
      <c r="B31" s="60" t="s">
        <v>358</v>
      </c>
      <c r="C31" s="60">
        <v>21</v>
      </c>
      <c r="D31" s="61">
        <v>45205</v>
      </c>
      <c r="E31" s="60" t="s">
        <v>428</v>
      </c>
      <c r="F31" s="60">
        <v>200871</v>
      </c>
      <c r="G31" s="60" t="s">
        <v>43</v>
      </c>
      <c r="H31" s="60" t="s">
        <v>220</v>
      </c>
      <c r="I31" s="62">
        <v>0.1</v>
      </c>
      <c r="J31" s="62"/>
      <c r="K31" s="62"/>
      <c r="L31" s="62"/>
      <c r="M31" s="62" t="s">
        <v>220</v>
      </c>
      <c r="N31" s="62">
        <v>0.1</v>
      </c>
      <c r="O31" s="62"/>
      <c r="P31" s="62"/>
      <c r="Q31" s="62"/>
      <c r="R31" s="62"/>
      <c r="S31" s="62"/>
      <c r="T31" s="27" t="str">
        <f t="shared" si="0"/>
        <v>A</v>
      </c>
      <c r="U31" s="60" t="s">
        <v>43</v>
      </c>
      <c r="V31" s="60" t="s">
        <v>47</v>
      </c>
      <c r="W31" s="60" t="s">
        <v>67</v>
      </c>
      <c r="X31" s="61">
        <v>45179</v>
      </c>
      <c r="Y31" s="270">
        <v>903383</v>
      </c>
      <c r="Z31" s="261" t="s">
        <v>414</v>
      </c>
      <c r="AA31" s="60" t="s">
        <v>107</v>
      </c>
      <c r="AB31" s="60" t="s">
        <v>107</v>
      </c>
      <c r="AC31" s="60"/>
      <c r="AD31" s="60"/>
      <c r="AE31" s="60" t="s">
        <v>429</v>
      </c>
      <c r="AF31" s="60" t="s">
        <v>430</v>
      </c>
      <c r="AG31" s="60"/>
      <c r="AH31" s="3"/>
      <c r="AI31" s="683"/>
      <c r="AJ31" s="684"/>
      <c r="AK31" s="684"/>
      <c r="AL31" s="685"/>
      <c r="AM31" s="689"/>
      <c r="AN31" s="690"/>
      <c r="AP31" s="6"/>
      <c r="AR31" s="288" t="s">
        <v>256</v>
      </c>
      <c r="AS31" s="171" t="s">
        <v>1</v>
      </c>
      <c r="AT31" s="509">
        <f t="shared" si="6"/>
        <v>0</v>
      </c>
      <c r="AU31" s="171" t="s">
        <v>1</v>
      </c>
      <c r="AV31" s="509">
        <f t="shared" si="7"/>
        <v>0</v>
      </c>
    </row>
    <row r="32" spans="1:48" ht="13" x14ac:dyDescent="0.25">
      <c r="A32" s="269">
        <v>30</v>
      </c>
      <c r="B32" s="60" t="s">
        <v>358</v>
      </c>
      <c r="C32" s="60">
        <v>22</v>
      </c>
      <c r="D32" s="61">
        <v>45233</v>
      </c>
      <c r="E32" s="60" t="s">
        <v>431</v>
      </c>
      <c r="F32" s="60">
        <v>200944</v>
      </c>
      <c r="G32" s="60"/>
      <c r="H32" s="60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27"/>
      <c r="U32" s="60"/>
      <c r="V32" s="60" t="s">
        <v>47</v>
      </c>
      <c r="W32" s="60" t="s">
        <v>58</v>
      </c>
      <c r="X32" s="61"/>
      <c r="Y32" s="270">
        <v>903395</v>
      </c>
      <c r="Z32" s="261" t="s">
        <v>432</v>
      </c>
      <c r="AA32" s="60" t="s">
        <v>107</v>
      </c>
      <c r="AB32" s="60" t="s">
        <v>107</v>
      </c>
      <c r="AC32" s="60"/>
      <c r="AD32" s="60"/>
      <c r="AE32" s="60"/>
      <c r="AF32" s="60"/>
      <c r="AG32" s="60"/>
      <c r="AH32" s="3"/>
      <c r="AI32" s="686"/>
      <c r="AJ32" s="687"/>
      <c r="AK32" s="687"/>
      <c r="AL32" s="688"/>
      <c r="AM32" s="691"/>
      <c r="AN32" s="692"/>
      <c r="AP32" s="6"/>
      <c r="AR32" s="288" t="s">
        <v>260</v>
      </c>
      <c r="AS32" s="171" t="s">
        <v>1</v>
      </c>
      <c r="AT32" s="509">
        <f t="shared" si="6"/>
        <v>0</v>
      </c>
      <c r="AU32" s="171" t="s">
        <v>1</v>
      </c>
      <c r="AV32" s="509">
        <f t="shared" si="7"/>
        <v>0</v>
      </c>
    </row>
    <row r="33" spans="1:48" ht="13" x14ac:dyDescent="0.25">
      <c r="A33" s="271">
        <v>31</v>
      </c>
      <c r="B33" s="60"/>
      <c r="C33" s="60"/>
      <c r="D33" s="61"/>
      <c r="E33" s="60"/>
      <c r="F33" s="60"/>
      <c r="G33" s="60"/>
      <c r="H33" s="60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27" t="str">
        <f t="shared" si="0"/>
        <v xml:space="preserve"> </v>
      </c>
      <c r="U33" s="60"/>
      <c r="V33" s="60"/>
      <c r="W33" s="60"/>
      <c r="X33" s="61"/>
      <c r="Y33" s="270"/>
      <c r="Z33" s="261"/>
      <c r="AA33" s="60"/>
      <c r="AB33" s="60"/>
      <c r="AC33" s="60"/>
      <c r="AD33" s="60"/>
      <c r="AE33" s="60"/>
      <c r="AF33" s="60"/>
      <c r="AG33" s="60"/>
      <c r="AH33" s="3"/>
      <c r="AI33" s="683"/>
      <c r="AJ33" s="684"/>
      <c r="AK33" s="684"/>
      <c r="AL33" s="685"/>
      <c r="AM33" s="689"/>
      <c r="AN33" s="690"/>
      <c r="AR33" s="288" t="s">
        <v>264</v>
      </c>
      <c r="AS33" s="171" t="s">
        <v>1</v>
      </c>
      <c r="AT33" s="509">
        <f t="shared" si="6"/>
        <v>0</v>
      </c>
      <c r="AU33" s="171" t="s">
        <v>1</v>
      </c>
      <c r="AV33" s="509">
        <f t="shared" si="7"/>
        <v>0</v>
      </c>
    </row>
    <row r="34" spans="1:48" ht="13.5" thickBot="1" x14ac:dyDescent="0.3">
      <c r="A34" s="269">
        <v>32</v>
      </c>
      <c r="B34" s="60"/>
      <c r="C34" s="60"/>
      <c r="D34" s="61"/>
      <c r="E34" s="60"/>
      <c r="F34" s="60"/>
      <c r="G34" s="60"/>
      <c r="H34" s="60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27" t="str">
        <f t="shared" si="0"/>
        <v xml:space="preserve"> </v>
      </c>
      <c r="U34" s="60"/>
      <c r="V34" s="60"/>
      <c r="W34" s="60"/>
      <c r="X34" s="61"/>
      <c r="Y34" s="270"/>
      <c r="Z34" s="261"/>
      <c r="AA34" s="60"/>
      <c r="AB34" s="60"/>
      <c r="AC34" s="60"/>
      <c r="AD34" s="60"/>
      <c r="AE34" s="60"/>
      <c r="AF34" s="60"/>
      <c r="AG34" s="60"/>
      <c r="AH34" s="3"/>
      <c r="AI34" s="693"/>
      <c r="AJ34" s="694"/>
      <c r="AK34" s="694"/>
      <c r="AL34" s="695"/>
      <c r="AM34" s="696"/>
      <c r="AN34" s="697"/>
      <c r="AR34" s="288" t="s">
        <v>269</v>
      </c>
      <c r="AS34" s="171" t="s">
        <v>1</v>
      </c>
      <c r="AT34" s="509">
        <f t="shared" si="6"/>
        <v>0</v>
      </c>
      <c r="AU34" s="171" t="s">
        <v>1</v>
      </c>
      <c r="AV34" s="509">
        <f t="shared" si="7"/>
        <v>0</v>
      </c>
    </row>
    <row r="35" spans="1:48" ht="13" x14ac:dyDescent="0.25">
      <c r="A35" s="271">
        <v>33</v>
      </c>
      <c r="B35" s="60"/>
      <c r="C35" s="60"/>
      <c r="D35" s="61"/>
      <c r="E35" s="60"/>
      <c r="F35" s="60"/>
      <c r="G35" s="60"/>
      <c r="H35" s="60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27" t="str">
        <f t="shared" ref="T35:T66" si="8">IF($I35&lt;=0, " ",IF($I35&lt;=0.25, "A",IF($I35&lt;10, "B",IF($I35&lt;100, "C", IF($I35&lt;300, "D",IF($I35&lt;1000, "E",IF($I35&lt;5000,"F",IF($I35&gt;=5000, "G"))))))))</f>
        <v xml:space="preserve"> </v>
      </c>
      <c r="U35" s="60"/>
      <c r="V35" s="60"/>
      <c r="W35" s="60"/>
      <c r="X35" s="61"/>
      <c r="Y35" s="270"/>
      <c r="Z35" s="261"/>
      <c r="AA35" s="60"/>
      <c r="AB35" s="60"/>
      <c r="AC35" s="60"/>
      <c r="AD35" s="60"/>
      <c r="AE35" s="60"/>
      <c r="AF35" s="60"/>
      <c r="AG35" s="60"/>
      <c r="AH35" s="3"/>
      <c r="AI35" s="768" t="s">
        <v>433</v>
      </c>
      <c r="AJ35" s="768"/>
      <c r="AK35" s="768"/>
      <c r="AL35" s="768"/>
      <c r="AM35" s="768"/>
      <c r="AN35" s="768"/>
      <c r="AR35" s="288" t="s">
        <v>272</v>
      </c>
      <c r="AS35" s="171" t="s">
        <v>1</v>
      </c>
      <c r="AT35" s="509">
        <f t="shared" si="6"/>
        <v>0</v>
      </c>
      <c r="AU35" s="171" t="s">
        <v>1</v>
      </c>
      <c r="AV35" s="509">
        <f t="shared" si="7"/>
        <v>0</v>
      </c>
    </row>
    <row r="36" spans="1:48" ht="13.5" thickBot="1" x14ac:dyDescent="0.3">
      <c r="A36" s="269">
        <v>34</v>
      </c>
      <c r="B36" s="60"/>
      <c r="C36" s="60"/>
      <c r="D36" s="61"/>
      <c r="E36" s="60"/>
      <c r="F36" s="60"/>
      <c r="G36" s="60"/>
      <c r="H36" s="60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27" t="str">
        <f t="shared" si="8"/>
        <v xml:space="preserve"> </v>
      </c>
      <c r="U36" s="60"/>
      <c r="V36" s="60"/>
      <c r="W36" s="60"/>
      <c r="X36" s="61"/>
      <c r="Y36" s="270"/>
      <c r="Z36" s="261"/>
      <c r="AA36" s="60"/>
      <c r="AB36" s="60"/>
      <c r="AC36" s="60"/>
      <c r="AD36" s="60"/>
      <c r="AE36" s="60"/>
      <c r="AF36" s="60"/>
      <c r="AG36" s="60"/>
      <c r="AH36" s="3"/>
      <c r="AI36" s="769"/>
      <c r="AJ36" s="769"/>
      <c r="AK36" s="769"/>
      <c r="AL36" s="769"/>
      <c r="AM36" s="769"/>
      <c r="AN36" s="769"/>
      <c r="AR36" s="289" t="s">
        <v>45</v>
      </c>
      <c r="AS36" s="175" t="s">
        <v>1</v>
      </c>
      <c r="AT36" s="510">
        <f t="shared" si="6"/>
        <v>0</v>
      </c>
      <c r="AU36" s="175" t="s">
        <v>1</v>
      </c>
      <c r="AV36" s="510">
        <f t="shared" si="7"/>
        <v>0</v>
      </c>
    </row>
    <row r="37" spans="1:48" ht="14" thickTop="1" thickBot="1" x14ac:dyDescent="0.3">
      <c r="A37" s="271">
        <v>35</v>
      </c>
      <c r="B37" s="60"/>
      <c r="C37" s="60"/>
      <c r="D37" s="61"/>
      <c r="E37" s="60"/>
      <c r="F37" s="60"/>
      <c r="G37" s="60"/>
      <c r="H37" s="60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27" t="str">
        <f t="shared" si="8"/>
        <v xml:space="preserve"> </v>
      </c>
      <c r="U37" s="60"/>
      <c r="V37" s="60"/>
      <c r="W37" s="60"/>
      <c r="X37" s="61"/>
      <c r="Y37" s="270"/>
      <c r="Z37" s="261"/>
      <c r="AA37" s="60"/>
      <c r="AB37" s="60"/>
      <c r="AC37" s="60"/>
      <c r="AD37" s="60"/>
      <c r="AE37" s="60"/>
      <c r="AF37" s="60"/>
      <c r="AG37" s="60"/>
      <c r="AH37" s="3"/>
      <c r="AI37" s="769"/>
      <c r="AJ37" s="769"/>
      <c r="AK37" s="769"/>
      <c r="AL37" s="769"/>
      <c r="AM37" s="769"/>
      <c r="AN37" s="769"/>
      <c r="AR37" s="203" t="s">
        <v>181</v>
      </c>
      <c r="AS37" s="204">
        <f>SUM(AS15:AS36)</f>
        <v>26</v>
      </c>
      <c r="AT37" s="524">
        <f>SUM(AT15:AT36)</f>
        <v>14.829999999999998</v>
      </c>
      <c r="AU37" s="204">
        <f>SUM(AU15:AU36)</f>
        <v>3</v>
      </c>
      <c r="AV37" s="524">
        <f>SUM(AV15:AV36)</f>
        <v>7154.2000000000007</v>
      </c>
    </row>
    <row r="38" spans="1:48" ht="13" x14ac:dyDescent="0.25">
      <c r="A38" s="269">
        <v>36</v>
      </c>
      <c r="B38" s="60"/>
      <c r="C38" s="60"/>
      <c r="D38" s="61"/>
      <c r="E38" s="60"/>
      <c r="F38" s="60"/>
      <c r="G38" s="60"/>
      <c r="H38" s="60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27" t="str">
        <f t="shared" si="8"/>
        <v xml:space="preserve"> </v>
      </c>
      <c r="U38" s="60"/>
      <c r="V38" s="60"/>
      <c r="W38" s="60"/>
      <c r="X38" s="61"/>
      <c r="Y38" s="270"/>
      <c r="Z38" s="261"/>
      <c r="AA38" s="60"/>
      <c r="AB38" s="60"/>
      <c r="AC38" s="60"/>
      <c r="AD38" s="60"/>
      <c r="AE38" s="60"/>
      <c r="AF38" s="60"/>
      <c r="AG38" s="60"/>
      <c r="AH38" s="3"/>
      <c r="AI38" s="769"/>
      <c r="AJ38" s="769"/>
      <c r="AK38" s="769"/>
      <c r="AL38" s="769"/>
      <c r="AM38" s="769"/>
      <c r="AN38" s="769"/>
    </row>
    <row r="39" spans="1:48" ht="13" x14ac:dyDescent="0.25">
      <c r="A39" s="271">
        <v>37</v>
      </c>
      <c r="B39" s="60"/>
      <c r="C39" s="60"/>
      <c r="D39" s="61"/>
      <c r="E39" s="60"/>
      <c r="F39" s="60"/>
      <c r="G39" s="60"/>
      <c r="H39" s="60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27" t="str">
        <f t="shared" si="8"/>
        <v xml:space="preserve"> </v>
      </c>
      <c r="U39" s="60"/>
      <c r="V39" s="60"/>
      <c r="W39" s="60"/>
      <c r="X39" s="61"/>
      <c r="Y39" s="270"/>
      <c r="Z39" s="261"/>
      <c r="AA39" s="60"/>
      <c r="AB39" s="60"/>
      <c r="AC39" s="60"/>
      <c r="AD39" s="60"/>
      <c r="AE39" s="60"/>
      <c r="AF39" s="60"/>
      <c r="AG39" s="60"/>
      <c r="AH39" s="3"/>
    </row>
    <row r="40" spans="1:48" ht="13" x14ac:dyDescent="0.25">
      <c r="A40" s="269">
        <v>38</v>
      </c>
      <c r="B40" s="60"/>
      <c r="C40" s="60"/>
      <c r="D40" s="61"/>
      <c r="E40" s="60"/>
      <c r="F40" s="60"/>
      <c r="G40" s="60"/>
      <c r="H40" s="60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27" t="str">
        <f t="shared" si="8"/>
        <v xml:space="preserve"> </v>
      </c>
      <c r="U40" s="60"/>
      <c r="V40" s="60"/>
      <c r="W40" s="60"/>
      <c r="X40" s="61"/>
      <c r="Y40" s="270"/>
      <c r="Z40" s="261"/>
      <c r="AA40" s="60"/>
      <c r="AB40" s="60"/>
      <c r="AC40" s="60"/>
      <c r="AD40" s="60"/>
      <c r="AE40" s="60"/>
      <c r="AF40" s="60"/>
      <c r="AG40" s="60"/>
      <c r="AH40" s="3"/>
    </row>
    <row r="41" spans="1:48" ht="13" x14ac:dyDescent="0.25">
      <c r="A41" s="271">
        <v>39</v>
      </c>
      <c r="B41" s="60"/>
      <c r="C41" s="60"/>
      <c r="D41" s="61"/>
      <c r="E41" s="60"/>
      <c r="F41" s="60"/>
      <c r="G41" s="60"/>
      <c r="H41" s="60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27" t="str">
        <f t="shared" si="8"/>
        <v xml:space="preserve"> </v>
      </c>
      <c r="U41" s="60"/>
      <c r="V41" s="60"/>
      <c r="W41" s="60"/>
      <c r="X41" s="61"/>
      <c r="Y41" s="270"/>
      <c r="Z41" s="261"/>
      <c r="AA41" s="60"/>
      <c r="AB41" s="60"/>
      <c r="AC41" s="60"/>
      <c r="AD41" s="60"/>
      <c r="AE41" s="60"/>
      <c r="AF41" s="60"/>
      <c r="AG41" s="60"/>
      <c r="AH41" s="3"/>
    </row>
    <row r="42" spans="1:48" ht="13" x14ac:dyDescent="0.25">
      <c r="A42" s="269">
        <v>40</v>
      </c>
      <c r="B42" s="60"/>
      <c r="C42" s="60"/>
      <c r="D42" s="61"/>
      <c r="E42" s="60"/>
      <c r="F42" s="60"/>
      <c r="G42" s="60"/>
      <c r="H42" s="60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27" t="str">
        <f t="shared" si="8"/>
        <v xml:space="preserve"> </v>
      </c>
      <c r="U42" s="60"/>
      <c r="V42" s="60"/>
      <c r="W42" s="60"/>
      <c r="X42" s="61"/>
      <c r="Y42" s="270"/>
      <c r="Z42" s="261"/>
      <c r="AA42" s="60"/>
      <c r="AB42" s="60"/>
      <c r="AC42" s="60"/>
      <c r="AD42" s="60"/>
      <c r="AE42" s="60"/>
      <c r="AF42" s="60"/>
      <c r="AG42" s="60"/>
      <c r="AH42" s="3"/>
    </row>
    <row r="43" spans="1:48" ht="13" x14ac:dyDescent="0.25">
      <c r="A43" s="271">
        <v>41</v>
      </c>
      <c r="B43" s="60"/>
      <c r="C43" s="60"/>
      <c r="D43" s="61"/>
      <c r="E43" s="60"/>
      <c r="F43" s="60"/>
      <c r="G43" s="60"/>
      <c r="H43" s="60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27" t="str">
        <f t="shared" si="8"/>
        <v xml:space="preserve"> </v>
      </c>
      <c r="U43" s="60"/>
      <c r="V43" s="60"/>
      <c r="W43" s="60"/>
      <c r="X43" s="61"/>
      <c r="Y43" s="270"/>
      <c r="Z43" s="261"/>
      <c r="AA43" s="60"/>
      <c r="AB43" s="60"/>
      <c r="AC43" s="60"/>
      <c r="AD43" s="60"/>
      <c r="AE43" s="60"/>
      <c r="AF43" s="60"/>
      <c r="AG43" s="60"/>
      <c r="AH43" s="3"/>
    </row>
    <row r="44" spans="1:48" ht="13" x14ac:dyDescent="0.25">
      <c r="A44" s="269">
        <v>42</v>
      </c>
      <c r="B44" s="60"/>
      <c r="C44" s="60"/>
      <c r="D44" s="61"/>
      <c r="E44" s="60"/>
      <c r="F44" s="60"/>
      <c r="G44" s="60"/>
      <c r="H44" s="60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27" t="str">
        <f t="shared" si="8"/>
        <v xml:space="preserve"> </v>
      </c>
      <c r="U44" s="60"/>
      <c r="V44" s="60"/>
      <c r="W44" s="60"/>
      <c r="X44" s="61"/>
      <c r="Y44" s="270"/>
      <c r="Z44" s="261"/>
      <c r="AA44" s="60"/>
      <c r="AB44" s="60"/>
      <c r="AC44" s="60"/>
      <c r="AD44" s="60"/>
      <c r="AE44" s="60"/>
      <c r="AF44" s="60"/>
      <c r="AG44" s="60"/>
      <c r="AH44" s="3"/>
    </row>
    <row r="45" spans="1:48" ht="13" x14ac:dyDescent="0.25">
      <c r="A45" s="271">
        <v>43</v>
      </c>
      <c r="B45" s="60"/>
      <c r="C45" s="60"/>
      <c r="D45" s="61"/>
      <c r="E45" s="60"/>
      <c r="F45" s="60"/>
      <c r="G45" s="60"/>
      <c r="H45" s="60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27" t="str">
        <f t="shared" si="8"/>
        <v xml:space="preserve"> </v>
      </c>
      <c r="U45" s="60"/>
      <c r="V45" s="60"/>
      <c r="W45" s="60"/>
      <c r="X45" s="61"/>
      <c r="Y45" s="270"/>
      <c r="Z45" s="261"/>
      <c r="AA45" s="60"/>
      <c r="AB45" s="60"/>
      <c r="AC45" s="60"/>
      <c r="AD45" s="60"/>
      <c r="AE45" s="60"/>
      <c r="AF45" s="64"/>
      <c r="AG45" s="60"/>
      <c r="AH45" s="3"/>
    </row>
    <row r="46" spans="1:48" ht="13" x14ac:dyDescent="0.25">
      <c r="A46" s="269">
        <v>44</v>
      </c>
      <c r="B46" s="60"/>
      <c r="C46" s="60"/>
      <c r="D46" s="61"/>
      <c r="E46" s="60"/>
      <c r="F46" s="60"/>
      <c r="G46" s="60"/>
      <c r="H46" s="60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27" t="str">
        <f t="shared" si="8"/>
        <v xml:space="preserve"> </v>
      </c>
      <c r="U46" s="60"/>
      <c r="V46" s="60"/>
      <c r="W46" s="60"/>
      <c r="X46" s="61"/>
      <c r="Y46" s="270"/>
      <c r="Z46" s="261"/>
      <c r="AA46" s="60"/>
      <c r="AB46" s="60"/>
      <c r="AC46" s="60"/>
      <c r="AD46" s="60"/>
      <c r="AE46" s="60"/>
      <c r="AF46" s="60"/>
      <c r="AG46" s="60"/>
      <c r="AH46" s="3"/>
    </row>
    <row r="47" spans="1:48" ht="13" x14ac:dyDescent="0.25">
      <c r="A47" s="271">
        <v>45</v>
      </c>
      <c r="B47" s="60"/>
      <c r="C47" s="60"/>
      <c r="D47" s="61"/>
      <c r="E47" s="60"/>
      <c r="F47" s="60"/>
      <c r="G47" s="60"/>
      <c r="H47" s="60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27" t="str">
        <f t="shared" si="8"/>
        <v xml:space="preserve"> </v>
      </c>
      <c r="U47" s="60"/>
      <c r="V47" s="60"/>
      <c r="W47" s="60"/>
      <c r="X47" s="61"/>
      <c r="Y47" s="270"/>
      <c r="Z47" s="261"/>
      <c r="AA47" s="60"/>
      <c r="AB47" s="60"/>
      <c r="AC47" s="60"/>
      <c r="AD47" s="60"/>
      <c r="AE47" s="60"/>
      <c r="AF47" s="60"/>
      <c r="AG47" s="60"/>
      <c r="AH47" s="3"/>
    </row>
    <row r="48" spans="1:48" ht="13" x14ac:dyDescent="0.25">
      <c r="A48" s="269">
        <v>46</v>
      </c>
      <c r="B48" s="60"/>
      <c r="C48" s="60"/>
      <c r="D48" s="61"/>
      <c r="E48" s="60"/>
      <c r="F48" s="60"/>
      <c r="G48" s="60"/>
      <c r="H48" s="60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27" t="str">
        <f t="shared" si="8"/>
        <v xml:space="preserve"> </v>
      </c>
      <c r="U48" s="60"/>
      <c r="V48" s="60"/>
      <c r="W48" s="60"/>
      <c r="X48" s="61"/>
      <c r="Y48" s="270"/>
      <c r="Z48" s="261"/>
      <c r="AA48" s="60"/>
      <c r="AB48" s="60"/>
      <c r="AC48" s="60"/>
      <c r="AD48" s="60"/>
      <c r="AE48" s="60"/>
      <c r="AF48" s="64"/>
      <c r="AG48" s="60"/>
      <c r="AH48" s="3"/>
    </row>
    <row r="49" spans="1:34" ht="13" x14ac:dyDescent="0.25">
      <c r="A49" s="271">
        <v>47</v>
      </c>
      <c r="B49" s="60"/>
      <c r="C49" s="60"/>
      <c r="D49" s="61"/>
      <c r="E49" s="60"/>
      <c r="F49" s="60"/>
      <c r="G49" s="60"/>
      <c r="H49" s="60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27" t="str">
        <f t="shared" si="8"/>
        <v xml:space="preserve"> </v>
      </c>
      <c r="U49" s="60"/>
      <c r="V49" s="60"/>
      <c r="W49" s="60"/>
      <c r="X49" s="61"/>
      <c r="Y49" s="270"/>
      <c r="Z49" s="261"/>
      <c r="AA49" s="60"/>
      <c r="AB49" s="60"/>
      <c r="AC49" s="60"/>
      <c r="AD49" s="60"/>
      <c r="AE49" s="60"/>
      <c r="AF49" s="65"/>
      <c r="AG49" s="60"/>
      <c r="AH49" s="3"/>
    </row>
    <row r="50" spans="1:34" ht="13" x14ac:dyDescent="0.25">
      <c r="A50" s="269">
        <v>48</v>
      </c>
      <c r="B50" s="60"/>
      <c r="C50" s="60"/>
      <c r="D50" s="61"/>
      <c r="E50" s="60"/>
      <c r="F50" s="60"/>
      <c r="G50" s="60"/>
      <c r="H50" s="60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27" t="str">
        <f t="shared" si="8"/>
        <v xml:space="preserve"> </v>
      </c>
      <c r="U50" s="60"/>
      <c r="V50" s="60"/>
      <c r="W50" s="60"/>
      <c r="X50" s="61"/>
      <c r="Y50" s="270"/>
      <c r="Z50" s="261"/>
      <c r="AA50" s="60"/>
      <c r="AB50" s="60"/>
      <c r="AC50" s="60"/>
      <c r="AD50" s="60"/>
      <c r="AE50" s="60"/>
      <c r="AF50" s="60"/>
      <c r="AG50" s="60"/>
      <c r="AH50" s="3"/>
    </row>
    <row r="51" spans="1:34" ht="13" x14ac:dyDescent="0.25">
      <c r="A51" s="271">
        <v>49</v>
      </c>
      <c r="B51" s="60"/>
      <c r="C51" s="60"/>
      <c r="D51" s="61"/>
      <c r="E51" s="60"/>
      <c r="F51" s="60"/>
      <c r="G51" s="60"/>
      <c r="H51" s="60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27" t="str">
        <f t="shared" si="8"/>
        <v xml:space="preserve"> </v>
      </c>
      <c r="U51" s="60"/>
      <c r="V51" s="60"/>
      <c r="W51" s="60"/>
      <c r="X51" s="61"/>
      <c r="Y51" s="270"/>
      <c r="Z51" s="261"/>
      <c r="AA51" s="60"/>
      <c r="AB51" s="60"/>
      <c r="AC51" s="60"/>
      <c r="AD51" s="60"/>
      <c r="AE51" s="60"/>
      <c r="AF51" s="60"/>
      <c r="AG51" s="60"/>
      <c r="AH51" s="3"/>
    </row>
    <row r="52" spans="1:34" ht="13" x14ac:dyDescent="0.25">
      <c r="A52" s="269">
        <v>50</v>
      </c>
      <c r="B52" s="60"/>
      <c r="C52" s="60"/>
      <c r="D52" s="61"/>
      <c r="E52" s="60"/>
      <c r="F52" s="60"/>
      <c r="G52" s="60"/>
      <c r="H52" s="60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27" t="str">
        <f t="shared" si="8"/>
        <v xml:space="preserve"> </v>
      </c>
      <c r="U52" s="60"/>
      <c r="V52" s="60"/>
      <c r="W52" s="60"/>
      <c r="X52" s="61"/>
      <c r="Y52" s="270"/>
      <c r="Z52" s="261"/>
      <c r="AA52" s="60"/>
      <c r="AB52" s="60"/>
      <c r="AC52" s="60"/>
      <c r="AD52" s="60"/>
      <c r="AE52" s="60"/>
      <c r="AF52" s="60"/>
      <c r="AG52" s="60"/>
      <c r="AH52" s="3"/>
    </row>
    <row r="53" spans="1:34" ht="13" x14ac:dyDescent="0.25">
      <c r="A53" s="271">
        <v>51</v>
      </c>
      <c r="B53" s="60"/>
      <c r="C53" s="60"/>
      <c r="D53" s="61"/>
      <c r="E53" s="60"/>
      <c r="F53" s="60"/>
      <c r="G53" s="60"/>
      <c r="H53" s="60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27" t="str">
        <f t="shared" si="8"/>
        <v xml:space="preserve"> </v>
      </c>
      <c r="U53" s="60"/>
      <c r="V53" s="60"/>
      <c r="W53" s="60"/>
      <c r="X53" s="61"/>
      <c r="Y53" s="270"/>
      <c r="Z53" s="261"/>
      <c r="AA53" s="60"/>
      <c r="AB53" s="60"/>
      <c r="AC53" s="60"/>
      <c r="AD53" s="60"/>
      <c r="AE53" s="60"/>
      <c r="AF53" s="64"/>
      <c r="AG53" s="60"/>
      <c r="AH53" s="3"/>
    </row>
    <row r="54" spans="1:34" ht="13" x14ac:dyDescent="0.25">
      <c r="A54" s="269">
        <v>52</v>
      </c>
      <c r="B54" s="60"/>
      <c r="C54" s="60"/>
      <c r="D54" s="61"/>
      <c r="E54" s="60"/>
      <c r="F54" s="60"/>
      <c r="G54" s="60"/>
      <c r="H54" s="60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27" t="str">
        <f t="shared" si="8"/>
        <v xml:space="preserve"> </v>
      </c>
      <c r="U54" s="60"/>
      <c r="V54" s="60"/>
      <c r="W54" s="60"/>
      <c r="X54" s="61"/>
      <c r="Y54" s="270"/>
      <c r="Z54" s="261"/>
      <c r="AA54" s="60"/>
      <c r="AB54" s="60"/>
      <c r="AC54" s="60"/>
      <c r="AD54" s="60"/>
      <c r="AE54" s="60"/>
      <c r="AF54" s="60"/>
      <c r="AG54" s="60"/>
      <c r="AH54" s="3"/>
    </row>
    <row r="55" spans="1:34" ht="13" x14ac:dyDescent="0.25">
      <c r="A55" s="271">
        <v>53</v>
      </c>
      <c r="B55" s="60"/>
      <c r="C55" s="60"/>
      <c r="D55" s="61"/>
      <c r="E55" s="60"/>
      <c r="F55" s="60"/>
      <c r="G55" s="60"/>
      <c r="H55" s="60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27" t="str">
        <f t="shared" si="8"/>
        <v xml:space="preserve"> </v>
      </c>
      <c r="U55" s="60"/>
      <c r="V55" s="60"/>
      <c r="W55" s="60"/>
      <c r="X55" s="61"/>
      <c r="Y55" s="270"/>
      <c r="Z55" s="261"/>
      <c r="AA55" s="60"/>
      <c r="AB55" s="60"/>
      <c r="AC55" s="60"/>
      <c r="AD55" s="60"/>
      <c r="AE55" s="60"/>
      <c r="AF55" s="60"/>
      <c r="AG55" s="60"/>
      <c r="AH55" s="3"/>
    </row>
    <row r="56" spans="1:34" ht="13" x14ac:dyDescent="0.25">
      <c r="A56" s="269">
        <v>54</v>
      </c>
      <c r="B56" s="60"/>
      <c r="C56" s="60"/>
      <c r="D56" s="61"/>
      <c r="E56" s="60"/>
      <c r="F56" s="60"/>
      <c r="G56" s="60"/>
      <c r="H56" s="60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27" t="str">
        <f t="shared" si="8"/>
        <v xml:space="preserve"> </v>
      </c>
      <c r="U56" s="60"/>
      <c r="V56" s="60"/>
      <c r="W56" s="60"/>
      <c r="X56" s="61"/>
      <c r="Y56" s="270"/>
      <c r="Z56" s="261"/>
      <c r="AA56" s="60"/>
      <c r="AB56" s="60"/>
      <c r="AC56" s="60"/>
      <c r="AD56" s="60"/>
      <c r="AE56" s="60"/>
      <c r="AF56" s="60"/>
      <c r="AG56" s="60"/>
      <c r="AH56" s="3"/>
    </row>
    <row r="57" spans="1:34" ht="13" x14ac:dyDescent="0.25">
      <c r="A57" s="271">
        <v>55</v>
      </c>
      <c r="B57" s="60"/>
      <c r="C57" s="60"/>
      <c r="D57" s="61"/>
      <c r="E57" s="60"/>
      <c r="F57" s="60"/>
      <c r="G57" s="60"/>
      <c r="H57" s="60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27" t="str">
        <f t="shared" si="8"/>
        <v xml:space="preserve"> </v>
      </c>
      <c r="U57" s="60"/>
      <c r="V57" s="60"/>
      <c r="W57" s="60"/>
      <c r="X57" s="61"/>
      <c r="Y57" s="270"/>
      <c r="Z57" s="261"/>
      <c r="AA57" s="60"/>
      <c r="AB57" s="60"/>
      <c r="AC57" s="60"/>
      <c r="AD57" s="60"/>
      <c r="AE57" s="60"/>
      <c r="AF57" s="60"/>
      <c r="AG57" s="60"/>
      <c r="AH57" s="3"/>
    </row>
    <row r="58" spans="1:34" ht="13" x14ac:dyDescent="0.25">
      <c r="A58" s="269">
        <v>56</v>
      </c>
      <c r="B58" s="60"/>
      <c r="C58" s="60"/>
      <c r="D58" s="61"/>
      <c r="E58" s="60"/>
      <c r="F58" s="60"/>
      <c r="G58" s="60"/>
      <c r="H58" s="60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27" t="str">
        <f t="shared" si="8"/>
        <v xml:space="preserve"> </v>
      </c>
      <c r="U58" s="60"/>
      <c r="V58" s="60"/>
      <c r="W58" s="60"/>
      <c r="X58" s="61"/>
      <c r="Y58" s="270"/>
      <c r="Z58" s="261"/>
      <c r="AA58" s="60"/>
      <c r="AB58" s="60"/>
      <c r="AC58" s="60"/>
      <c r="AD58" s="60"/>
      <c r="AE58" s="60"/>
      <c r="AF58" s="60"/>
      <c r="AG58" s="60"/>
      <c r="AH58" s="3"/>
    </row>
    <row r="59" spans="1:34" ht="13" x14ac:dyDescent="0.25">
      <c r="A59" s="271">
        <v>57</v>
      </c>
      <c r="B59" s="66"/>
      <c r="C59" s="60"/>
      <c r="D59" s="67"/>
      <c r="E59" s="66"/>
      <c r="F59" s="66"/>
      <c r="G59" s="66"/>
      <c r="H59" s="60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27" t="str">
        <f t="shared" si="8"/>
        <v xml:space="preserve"> </v>
      </c>
      <c r="U59" s="66"/>
      <c r="V59" s="66"/>
      <c r="W59" s="66"/>
      <c r="X59" s="67"/>
      <c r="Y59" s="272"/>
      <c r="Z59" s="261"/>
      <c r="AA59" s="60"/>
      <c r="AB59" s="64"/>
      <c r="AC59" s="60"/>
      <c r="AD59" s="64"/>
      <c r="AE59" s="60"/>
      <c r="AF59" s="60"/>
      <c r="AG59" s="60"/>
      <c r="AH59" s="3"/>
    </row>
    <row r="60" spans="1:34" ht="13" x14ac:dyDescent="0.25">
      <c r="A60" s="269">
        <v>58</v>
      </c>
      <c r="B60" s="60"/>
      <c r="C60" s="60"/>
      <c r="D60" s="61"/>
      <c r="E60" s="60"/>
      <c r="F60" s="60"/>
      <c r="G60" s="60"/>
      <c r="H60" s="60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27" t="str">
        <f t="shared" si="8"/>
        <v xml:space="preserve"> </v>
      </c>
      <c r="U60" s="60"/>
      <c r="V60" s="60"/>
      <c r="W60" s="60"/>
      <c r="X60" s="61"/>
      <c r="Y60" s="270"/>
      <c r="Z60" s="261"/>
      <c r="AA60" s="60"/>
      <c r="AB60" s="60"/>
      <c r="AC60" s="60"/>
      <c r="AD60" s="60"/>
      <c r="AE60" s="60"/>
      <c r="AF60" s="60"/>
      <c r="AG60" s="60"/>
      <c r="AH60" s="3"/>
    </row>
    <row r="61" spans="1:34" ht="13" x14ac:dyDescent="0.25">
      <c r="A61" s="271">
        <v>59</v>
      </c>
      <c r="B61" s="60"/>
      <c r="C61" s="60"/>
      <c r="D61" s="61"/>
      <c r="E61" s="60"/>
      <c r="F61" s="60"/>
      <c r="G61" s="60"/>
      <c r="H61" s="60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27" t="str">
        <f t="shared" si="8"/>
        <v xml:space="preserve"> </v>
      </c>
      <c r="U61" s="60"/>
      <c r="V61" s="60"/>
      <c r="W61" s="60"/>
      <c r="X61" s="61"/>
      <c r="Y61" s="270"/>
      <c r="Z61" s="261"/>
      <c r="AA61" s="60"/>
      <c r="AB61" s="60"/>
      <c r="AC61" s="60"/>
      <c r="AD61" s="60"/>
      <c r="AE61" s="60"/>
      <c r="AF61" s="60"/>
      <c r="AG61" s="60"/>
      <c r="AH61" s="3"/>
    </row>
    <row r="62" spans="1:34" ht="13" x14ac:dyDescent="0.25">
      <c r="A62" s="269">
        <v>60</v>
      </c>
      <c r="B62" s="60"/>
      <c r="C62" s="60"/>
      <c r="D62" s="61"/>
      <c r="E62" s="60"/>
      <c r="F62" s="60"/>
      <c r="G62" s="60"/>
      <c r="H62" s="60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27" t="str">
        <f t="shared" si="8"/>
        <v xml:space="preserve"> </v>
      </c>
      <c r="U62" s="60"/>
      <c r="V62" s="60"/>
      <c r="W62" s="60"/>
      <c r="X62" s="61"/>
      <c r="Y62" s="270"/>
      <c r="Z62" s="261"/>
      <c r="AA62" s="60"/>
      <c r="AB62" s="64"/>
      <c r="AC62" s="60"/>
      <c r="AD62" s="64"/>
      <c r="AE62" s="60"/>
      <c r="AF62" s="60"/>
      <c r="AG62" s="60"/>
      <c r="AH62" s="3"/>
    </row>
    <row r="63" spans="1:34" ht="13" x14ac:dyDescent="0.25">
      <c r="A63" s="271">
        <v>61</v>
      </c>
      <c r="B63" s="60"/>
      <c r="C63" s="60"/>
      <c r="D63" s="61"/>
      <c r="E63" s="60"/>
      <c r="F63" s="60"/>
      <c r="G63" s="60"/>
      <c r="H63" s="60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27" t="str">
        <f t="shared" si="8"/>
        <v xml:space="preserve"> </v>
      </c>
      <c r="U63" s="60"/>
      <c r="V63" s="60"/>
      <c r="W63" s="60"/>
      <c r="X63" s="61"/>
      <c r="Y63" s="270"/>
      <c r="Z63" s="261"/>
      <c r="AA63" s="60"/>
      <c r="AB63" s="60"/>
      <c r="AC63" s="60"/>
      <c r="AD63" s="60"/>
      <c r="AE63" s="60"/>
      <c r="AF63" s="60"/>
      <c r="AG63" s="60"/>
      <c r="AH63" s="3"/>
    </row>
    <row r="64" spans="1:34" ht="13" x14ac:dyDescent="0.25">
      <c r="A64" s="269">
        <v>62</v>
      </c>
      <c r="B64" s="60"/>
      <c r="C64" s="60"/>
      <c r="D64" s="61"/>
      <c r="E64" s="60"/>
      <c r="F64" s="60"/>
      <c r="G64" s="60"/>
      <c r="H64" s="60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27" t="str">
        <f t="shared" si="8"/>
        <v xml:space="preserve"> </v>
      </c>
      <c r="U64" s="60"/>
      <c r="V64" s="60"/>
      <c r="W64" s="60"/>
      <c r="X64" s="61"/>
      <c r="Y64" s="270"/>
      <c r="Z64" s="261"/>
      <c r="AA64" s="60"/>
      <c r="AB64" s="60"/>
      <c r="AC64" s="60"/>
      <c r="AD64" s="60"/>
      <c r="AE64" s="60"/>
      <c r="AF64" s="60"/>
      <c r="AG64" s="60"/>
      <c r="AH64" s="3"/>
    </row>
    <row r="65" spans="1:34" ht="13" x14ac:dyDescent="0.25">
      <c r="A65" s="271">
        <v>63</v>
      </c>
      <c r="B65" s="60"/>
      <c r="C65" s="60"/>
      <c r="D65" s="61"/>
      <c r="E65" s="60"/>
      <c r="F65" s="60"/>
      <c r="G65" s="60"/>
      <c r="H65" s="60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27" t="str">
        <f t="shared" si="8"/>
        <v xml:space="preserve"> </v>
      </c>
      <c r="U65" s="60"/>
      <c r="V65" s="60"/>
      <c r="W65" s="60"/>
      <c r="X65" s="61"/>
      <c r="Y65" s="270"/>
      <c r="Z65" s="261"/>
      <c r="AA65" s="60"/>
      <c r="AB65" s="60"/>
      <c r="AC65" s="60"/>
      <c r="AD65" s="60"/>
      <c r="AE65" s="60"/>
      <c r="AF65" s="60"/>
      <c r="AG65" s="60"/>
      <c r="AH65" s="3"/>
    </row>
    <row r="66" spans="1:34" ht="13" x14ac:dyDescent="0.25">
      <c r="A66" s="269">
        <v>64</v>
      </c>
      <c r="B66" s="60"/>
      <c r="C66" s="60"/>
      <c r="D66" s="61"/>
      <c r="E66" s="60"/>
      <c r="F66" s="60"/>
      <c r="G66" s="60"/>
      <c r="H66" s="60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27" t="str">
        <f t="shared" si="8"/>
        <v xml:space="preserve"> </v>
      </c>
      <c r="U66" s="60"/>
      <c r="V66" s="60"/>
      <c r="W66" s="60"/>
      <c r="X66" s="61"/>
      <c r="Y66" s="270"/>
      <c r="Z66" s="261"/>
      <c r="AA66" s="60"/>
      <c r="AB66" s="60"/>
      <c r="AC66" s="60"/>
      <c r="AD66" s="60"/>
      <c r="AE66" s="60"/>
      <c r="AF66" s="60"/>
      <c r="AG66" s="60"/>
      <c r="AH66" s="3"/>
    </row>
    <row r="67" spans="1:34" ht="13" x14ac:dyDescent="0.25">
      <c r="A67" s="271">
        <v>65</v>
      </c>
      <c r="B67" s="60"/>
      <c r="C67" s="60"/>
      <c r="D67" s="61"/>
      <c r="E67" s="60"/>
      <c r="F67" s="60"/>
      <c r="G67" s="60"/>
      <c r="H67" s="60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27" t="str">
        <f t="shared" ref="T67:T98" si="9">IF($I67&lt;=0, " ",IF($I67&lt;=0.25, "A",IF($I67&lt;10, "B",IF($I67&lt;100, "C", IF($I67&lt;300, "D",IF($I67&lt;1000, "E",IF($I67&lt;5000,"F",IF($I67&gt;=5000, "G"))))))))</f>
        <v xml:space="preserve"> </v>
      </c>
      <c r="U67" s="60"/>
      <c r="V67" s="60"/>
      <c r="W67" s="60"/>
      <c r="X67" s="61"/>
      <c r="Y67" s="270"/>
      <c r="Z67" s="261"/>
      <c r="AA67" s="60"/>
      <c r="AB67" s="60"/>
      <c r="AC67" s="60"/>
      <c r="AD67" s="60"/>
      <c r="AE67" s="60"/>
      <c r="AF67" s="60"/>
      <c r="AG67" s="60"/>
      <c r="AH67" s="3"/>
    </row>
    <row r="68" spans="1:34" ht="13" x14ac:dyDescent="0.25">
      <c r="A68" s="269">
        <v>66</v>
      </c>
      <c r="B68" s="60"/>
      <c r="C68" s="60"/>
      <c r="D68" s="61"/>
      <c r="E68" s="60"/>
      <c r="F68" s="60"/>
      <c r="G68" s="60"/>
      <c r="H68" s="60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27" t="str">
        <f t="shared" si="9"/>
        <v xml:space="preserve"> </v>
      </c>
      <c r="U68" s="60"/>
      <c r="V68" s="60"/>
      <c r="W68" s="60"/>
      <c r="X68" s="61"/>
      <c r="Y68" s="270"/>
      <c r="Z68" s="261"/>
      <c r="AA68" s="60"/>
      <c r="AB68" s="60"/>
      <c r="AC68" s="60"/>
      <c r="AD68" s="60"/>
      <c r="AE68" s="60"/>
      <c r="AF68" s="60"/>
      <c r="AG68" s="60"/>
      <c r="AH68" s="3"/>
    </row>
    <row r="69" spans="1:34" ht="13" x14ac:dyDescent="0.25">
      <c r="A69" s="271">
        <v>67</v>
      </c>
      <c r="B69" s="60"/>
      <c r="C69" s="60"/>
      <c r="D69" s="61"/>
      <c r="E69" s="60"/>
      <c r="F69" s="60"/>
      <c r="G69" s="60"/>
      <c r="H69" s="60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27" t="str">
        <f t="shared" si="9"/>
        <v xml:space="preserve"> </v>
      </c>
      <c r="U69" s="60"/>
      <c r="V69" s="60"/>
      <c r="W69" s="60"/>
      <c r="X69" s="61"/>
      <c r="Y69" s="270"/>
      <c r="Z69" s="261"/>
      <c r="AA69" s="60"/>
      <c r="AB69" s="60"/>
      <c r="AC69" s="60"/>
      <c r="AD69" s="60"/>
      <c r="AE69" s="60"/>
      <c r="AF69" s="60"/>
      <c r="AG69" s="60"/>
      <c r="AH69" s="3"/>
    </row>
    <row r="70" spans="1:34" ht="13" x14ac:dyDescent="0.25">
      <c r="A70" s="269">
        <v>68</v>
      </c>
      <c r="B70" s="60"/>
      <c r="C70" s="60"/>
      <c r="D70" s="61"/>
      <c r="E70" s="60"/>
      <c r="F70" s="60"/>
      <c r="G70" s="60"/>
      <c r="H70" s="60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27" t="str">
        <f t="shared" si="9"/>
        <v xml:space="preserve"> </v>
      </c>
      <c r="U70" s="60"/>
      <c r="V70" s="60"/>
      <c r="W70" s="60"/>
      <c r="X70" s="61"/>
      <c r="Y70" s="270"/>
      <c r="Z70" s="261"/>
      <c r="AA70" s="60"/>
      <c r="AB70" s="60"/>
      <c r="AC70" s="60"/>
      <c r="AD70" s="60"/>
      <c r="AE70" s="60"/>
      <c r="AF70" s="60"/>
      <c r="AG70" s="60"/>
      <c r="AH70" s="3"/>
    </row>
    <row r="71" spans="1:34" ht="13" x14ac:dyDescent="0.25">
      <c r="A71" s="271">
        <v>69</v>
      </c>
      <c r="B71" s="60"/>
      <c r="C71" s="60"/>
      <c r="D71" s="61"/>
      <c r="E71" s="60"/>
      <c r="F71" s="60"/>
      <c r="G71" s="60"/>
      <c r="H71" s="60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27" t="str">
        <f t="shared" si="9"/>
        <v xml:space="preserve"> </v>
      </c>
      <c r="U71" s="60"/>
      <c r="V71" s="60"/>
      <c r="W71" s="60"/>
      <c r="X71" s="61"/>
      <c r="Y71" s="270"/>
      <c r="Z71" s="261"/>
      <c r="AA71" s="60"/>
      <c r="AB71" s="60"/>
      <c r="AC71" s="60"/>
      <c r="AD71" s="60"/>
      <c r="AE71" s="60"/>
      <c r="AF71" s="60"/>
      <c r="AG71" s="60"/>
      <c r="AH71" s="3"/>
    </row>
    <row r="72" spans="1:34" ht="13" x14ac:dyDescent="0.25">
      <c r="A72" s="269">
        <v>70</v>
      </c>
      <c r="B72" s="60"/>
      <c r="C72" s="60"/>
      <c r="D72" s="61"/>
      <c r="E72" s="60"/>
      <c r="F72" s="60"/>
      <c r="G72" s="60"/>
      <c r="H72" s="60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27" t="str">
        <f t="shared" si="9"/>
        <v xml:space="preserve"> </v>
      </c>
      <c r="U72" s="60"/>
      <c r="V72" s="60"/>
      <c r="W72" s="60"/>
      <c r="X72" s="61"/>
      <c r="Y72" s="270"/>
      <c r="Z72" s="261"/>
      <c r="AA72" s="60"/>
      <c r="AB72" s="64"/>
      <c r="AC72" s="60"/>
      <c r="AD72" s="64"/>
      <c r="AE72" s="60"/>
      <c r="AF72" s="60"/>
      <c r="AG72" s="60"/>
      <c r="AH72" s="3"/>
    </row>
    <row r="73" spans="1:34" ht="13" x14ac:dyDescent="0.25">
      <c r="A73" s="271">
        <v>71</v>
      </c>
      <c r="B73" s="60"/>
      <c r="C73" s="60"/>
      <c r="D73" s="61"/>
      <c r="E73" s="60"/>
      <c r="F73" s="60"/>
      <c r="G73" s="60"/>
      <c r="H73" s="60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27" t="str">
        <f t="shared" si="9"/>
        <v xml:space="preserve"> </v>
      </c>
      <c r="U73" s="60"/>
      <c r="V73" s="60"/>
      <c r="W73" s="60"/>
      <c r="X73" s="61"/>
      <c r="Y73" s="270"/>
      <c r="Z73" s="261"/>
      <c r="AA73" s="60"/>
      <c r="AB73" s="60"/>
      <c r="AC73" s="60"/>
      <c r="AD73" s="60"/>
      <c r="AE73" s="60"/>
      <c r="AF73" s="60"/>
      <c r="AG73" s="60"/>
      <c r="AH73" s="3"/>
    </row>
    <row r="74" spans="1:34" ht="13" x14ac:dyDescent="0.25">
      <c r="A74" s="269">
        <v>72</v>
      </c>
      <c r="B74" s="60"/>
      <c r="C74" s="60"/>
      <c r="D74" s="61"/>
      <c r="E74" s="60"/>
      <c r="F74" s="60"/>
      <c r="G74" s="60"/>
      <c r="H74" s="60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27" t="str">
        <f t="shared" si="9"/>
        <v xml:space="preserve"> </v>
      </c>
      <c r="U74" s="60"/>
      <c r="V74" s="60"/>
      <c r="W74" s="60"/>
      <c r="X74" s="61"/>
      <c r="Y74" s="270"/>
      <c r="Z74" s="261"/>
      <c r="AA74" s="60"/>
      <c r="AB74" s="65"/>
      <c r="AC74" s="60"/>
      <c r="AD74" s="65"/>
      <c r="AE74" s="60"/>
      <c r="AF74" s="64"/>
      <c r="AG74" s="60"/>
      <c r="AH74" s="3"/>
    </row>
    <row r="75" spans="1:34" ht="13" x14ac:dyDescent="0.25">
      <c r="A75" s="271">
        <v>73</v>
      </c>
      <c r="B75" s="60"/>
      <c r="C75" s="60"/>
      <c r="D75" s="61"/>
      <c r="E75" s="60"/>
      <c r="F75" s="60"/>
      <c r="G75" s="60"/>
      <c r="H75" s="60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27" t="str">
        <f t="shared" si="9"/>
        <v xml:space="preserve"> </v>
      </c>
      <c r="U75" s="60"/>
      <c r="V75" s="60"/>
      <c r="W75" s="60"/>
      <c r="X75" s="61"/>
      <c r="Y75" s="270"/>
      <c r="Z75" s="261"/>
      <c r="AA75" s="60"/>
      <c r="AB75" s="65"/>
      <c r="AC75" s="60"/>
      <c r="AD75" s="65"/>
      <c r="AE75" s="60"/>
      <c r="AF75" s="60"/>
      <c r="AG75" s="60"/>
      <c r="AH75" s="3"/>
    </row>
    <row r="76" spans="1:34" ht="13" x14ac:dyDescent="0.25">
      <c r="A76" s="269">
        <v>74</v>
      </c>
      <c r="B76" s="60"/>
      <c r="C76" s="60"/>
      <c r="D76" s="61"/>
      <c r="E76" s="60"/>
      <c r="F76" s="60"/>
      <c r="G76" s="60"/>
      <c r="H76" s="60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27" t="str">
        <f t="shared" si="9"/>
        <v xml:space="preserve"> </v>
      </c>
      <c r="U76" s="60"/>
      <c r="V76" s="60"/>
      <c r="W76" s="60"/>
      <c r="X76" s="61"/>
      <c r="Y76" s="270"/>
      <c r="Z76" s="261"/>
      <c r="AA76" s="60"/>
      <c r="AB76" s="60"/>
      <c r="AC76" s="60"/>
      <c r="AD76" s="60"/>
      <c r="AE76" s="60"/>
      <c r="AF76" s="60"/>
      <c r="AG76" s="60"/>
      <c r="AH76" s="3"/>
    </row>
    <row r="77" spans="1:34" ht="13" x14ac:dyDescent="0.25">
      <c r="A77" s="271">
        <v>75</v>
      </c>
      <c r="B77" s="60"/>
      <c r="C77" s="60"/>
      <c r="D77" s="61"/>
      <c r="E77" s="60"/>
      <c r="F77" s="60"/>
      <c r="G77" s="60"/>
      <c r="H77" s="60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27" t="str">
        <f t="shared" si="9"/>
        <v xml:space="preserve"> </v>
      </c>
      <c r="U77" s="60"/>
      <c r="V77" s="60"/>
      <c r="W77" s="60"/>
      <c r="X77" s="61"/>
      <c r="Y77" s="270"/>
      <c r="Z77" s="261"/>
      <c r="AA77" s="60"/>
      <c r="AB77" s="60"/>
      <c r="AC77" s="60"/>
      <c r="AD77" s="60"/>
      <c r="AE77" s="60"/>
      <c r="AF77" s="60"/>
      <c r="AG77" s="60"/>
      <c r="AH77" s="3"/>
    </row>
    <row r="78" spans="1:34" ht="13" x14ac:dyDescent="0.25">
      <c r="A78" s="269">
        <v>76</v>
      </c>
      <c r="B78" s="60"/>
      <c r="C78" s="60"/>
      <c r="D78" s="61"/>
      <c r="E78" s="60"/>
      <c r="F78" s="60"/>
      <c r="G78" s="60"/>
      <c r="H78" s="60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27" t="str">
        <f t="shared" si="9"/>
        <v xml:space="preserve"> </v>
      </c>
      <c r="U78" s="60"/>
      <c r="V78" s="60"/>
      <c r="W78" s="60"/>
      <c r="X78" s="61"/>
      <c r="Y78" s="270"/>
      <c r="Z78" s="261"/>
      <c r="AA78" s="60"/>
      <c r="AB78" s="60"/>
      <c r="AC78" s="60"/>
      <c r="AD78" s="60"/>
      <c r="AE78" s="60"/>
      <c r="AF78" s="60"/>
      <c r="AG78" s="60"/>
      <c r="AH78" s="3"/>
    </row>
    <row r="79" spans="1:34" ht="13" x14ac:dyDescent="0.25">
      <c r="A79" s="271">
        <v>77</v>
      </c>
      <c r="B79" s="60"/>
      <c r="C79" s="60"/>
      <c r="D79" s="61"/>
      <c r="E79" s="60"/>
      <c r="F79" s="60"/>
      <c r="G79" s="60"/>
      <c r="H79" s="60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27" t="str">
        <f t="shared" si="9"/>
        <v xml:space="preserve"> </v>
      </c>
      <c r="U79" s="60"/>
      <c r="V79" s="60"/>
      <c r="W79" s="60"/>
      <c r="X79" s="61"/>
      <c r="Y79" s="273"/>
      <c r="Z79" s="261"/>
      <c r="AA79" s="60"/>
      <c r="AB79" s="60"/>
      <c r="AC79" s="60"/>
      <c r="AD79" s="60"/>
      <c r="AE79" s="60"/>
      <c r="AF79" s="60"/>
      <c r="AG79" s="60"/>
      <c r="AH79" s="3"/>
    </row>
    <row r="80" spans="1:34" ht="13" x14ac:dyDescent="0.25">
      <c r="A80" s="269">
        <v>78</v>
      </c>
      <c r="B80" s="60"/>
      <c r="C80" s="60"/>
      <c r="D80" s="61"/>
      <c r="E80" s="60"/>
      <c r="F80" s="60"/>
      <c r="G80" s="60"/>
      <c r="H80" s="60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27" t="str">
        <f t="shared" si="9"/>
        <v xml:space="preserve"> </v>
      </c>
      <c r="U80" s="60"/>
      <c r="V80" s="60"/>
      <c r="W80" s="60"/>
      <c r="X80" s="61"/>
      <c r="Y80" s="270"/>
      <c r="Z80" s="261"/>
      <c r="AA80" s="60"/>
      <c r="AB80" s="60"/>
      <c r="AC80" s="60"/>
      <c r="AD80" s="60"/>
      <c r="AE80" s="60"/>
      <c r="AF80" s="60"/>
      <c r="AG80" s="60"/>
      <c r="AH80" s="3"/>
    </row>
    <row r="81" spans="1:34" ht="13" x14ac:dyDescent="0.25">
      <c r="A81" s="271">
        <v>79</v>
      </c>
      <c r="B81" s="60"/>
      <c r="C81" s="60"/>
      <c r="D81" s="61"/>
      <c r="E81" s="60"/>
      <c r="F81" s="60"/>
      <c r="G81" s="60"/>
      <c r="H81" s="60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27" t="str">
        <f t="shared" si="9"/>
        <v xml:space="preserve"> </v>
      </c>
      <c r="U81" s="60"/>
      <c r="V81" s="60"/>
      <c r="W81" s="60"/>
      <c r="X81" s="61"/>
      <c r="Y81" s="270"/>
      <c r="Z81" s="261"/>
      <c r="AA81" s="60"/>
      <c r="AB81" s="60"/>
      <c r="AC81" s="60"/>
      <c r="AD81" s="60"/>
      <c r="AE81" s="60"/>
      <c r="AF81" s="60"/>
      <c r="AG81" s="60"/>
      <c r="AH81" s="3"/>
    </row>
    <row r="82" spans="1:34" ht="13" x14ac:dyDescent="0.25">
      <c r="A82" s="269">
        <v>80</v>
      </c>
      <c r="B82" s="60"/>
      <c r="C82" s="60"/>
      <c r="D82" s="61"/>
      <c r="E82" s="60"/>
      <c r="F82" s="60"/>
      <c r="G82" s="60"/>
      <c r="H82" s="60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27" t="str">
        <f t="shared" si="9"/>
        <v xml:space="preserve"> </v>
      </c>
      <c r="U82" s="60"/>
      <c r="V82" s="60"/>
      <c r="W82" s="60"/>
      <c r="X82" s="61"/>
      <c r="Y82" s="270"/>
      <c r="Z82" s="261"/>
      <c r="AA82" s="60"/>
      <c r="AB82" s="60"/>
      <c r="AC82" s="60"/>
      <c r="AD82" s="60"/>
      <c r="AE82" s="60"/>
      <c r="AF82" s="60"/>
      <c r="AG82" s="60"/>
      <c r="AH82" s="3"/>
    </row>
    <row r="83" spans="1:34" ht="13" x14ac:dyDescent="0.25">
      <c r="A83" s="271">
        <v>81</v>
      </c>
      <c r="B83" s="60"/>
      <c r="C83" s="60"/>
      <c r="D83" s="61"/>
      <c r="E83" s="60"/>
      <c r="F83" s="60"/>
      <c r="G83" s="60"/>
      <c r="H83" s="60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27" t="str">
        <f t="shared" si="9"/>
        <v xml:space="preserve"> </v>
      </c>
      <c r="U83" s="60"/>
      <c r="V83" s="60"/>
      <c r="W83" s="60"/>
      <c r="X83" s="61"/>
      <c r="Y83" s="270"/>
      <c r="Z83" s="261"/>
      <c r="AA83" s="60"/>
      <c r="AB83" s="60"/>
      <c r="AC83" s="60"/>
      <c r="AD83" s="60"/>
      <c r="AE83" s="60"/>
      <c r="AF83" s="60"/>
      <c r="AG83" s="60"/>
      <c r="AH83" s="3"/>
    </row>
    <row r="84" spans="1:34" ht="13" x14ac:dyDescent="0.25">
      <c r="A84" s="269">
        <v>82</v>
      </c>
      <c r="B84" s="60"/>
      <c r="C84" s="60"/>
      <c r="D84" s="61"/>
      <c r="E84" s="60"/>
      <c r="F84" s="60"/>
      <c r="G84" s="60"/>
      <c r="H84" s="60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27" t="str">
        <f t="shared" si="9"/>
        <v xml:space="preserve"> </v>
      </c>
      <c r="U84" s="60"/>
      <c r="V84" s="60"/>
      <c r="W84" s="60"/>
      <c r="X84" s="61"/>
      <c r="Y84" s="270"/>
      <c r="Z84" s="261"/>
      <c r="AA84" s="60"/>
      <c r="AB84" s="60"/>
      <c r="AC84" s="60"/>
      <c r="AD84" s="60"/>
      <c r="AE84" s="60"/>
      <c r="AF84" s="60"/>
      <c r="AG84" s="60"/>
      <c r="AH84" s="3"/>
    </row>
    <row r="85" spans="1:34" ht="13" x14ac:dyDescent="0.25">
      <c r="A85" s="271">
        <v>83</v>
      </c>
      <c r="B85" s="60"/>
      <c r="C85" s="60"/>
      <c r="D85" s="61"/>
      <c r="E85" s="60"/>
      <c r="F85" s="60"/>
      <c r="G85" s="60"/>
      <c r="H85" s="60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27" t="str">
        <f t="shared" si="9"/>
        <v xml:space="preserve"> </v>
      </c>
      <c r="U85" s="60"/>
      <c r="V85" s="60"/>
      <c r="W85" s="60"/>
      <c r="X85" s="61"/>
      <c r="Y85" s="270"/>
      <c r="Z85" s="261"/>
      <c r="AA85" s="60"/>
      <c r="AB85" s="60"/>
      <c r="AC85" s="60"/>
      <c r="AD85" s="60"/>
      <c r="AE85" s="60"/>
      <c r="AF85" s="60"/>
      <c r="AG85" s="60"/>
      <c r="AH85" s="3"/>
    </row>
    <row r="86" spans="1:34" ht="13" x14ac:dyDescent="0.25">
      <c r="A86" s="269">
        <v>84</v>
      </c>
      <c r="B86" s="60"/>
      <c r="C86" s="60"/>
      <c r="D86" s="61"/>
      <c r="E86" s="60"/>
      <c r="F86" s="60"/>
      <c r="G86" s="60"/>
      <c r="H86" s="60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27" t="str">
        <f t="shared" si="9"/>
        <v xml:space="preserve"> </v>
      </c>
      <c r="U86" s="60"/>
      <c r="V86" s="60"/>
      <c r="W86" s="60"/>
      <c r="X86" s="61"/>
      <c r="Y86" s="270"/>
      <c r="Z86" s="261"/>
      <c r="AA86" s="60"/>
      <c r="AB86" s="60"/>
      <c r="AC86" s="60"/>
      <c r="AD86" s="60"/>
      <c r="AE86" s="60"/>
      <c r="AF86" s="60"/>
      <c r="AG86" s="60"/>
      <c r="AH86" s="3"/>
    </row>
    <row r="87" spans="1:34" ht="13" x14ac:dyDescent="0.25">
      <c r="A87" s="271">
        <v>85</v>
      </c>
      <c r="B87" s="60"/>
      <c r="C87" s="60"/>
      <c r="D87" s="61"/>
      <c r="E87" s="60"/>
      <c r="F87" s="60"/>
      <c r="G87" s="60"/>
      <c r="H87" s="6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27" t="str">
        <f t="shared" si="9"/>
        <v xml:space="preserve"> </v>
      </c>
      <c r="U87" s="60"/>
      <c r="V87" s="60"/>
      <c r="W87" s="60"/>
      <c r="X87" s="61"/>
      <c r="Y87" s="270"/>
      <c r="Z87" s="261"/>
      <c r="AA87" s="60"/>
      <c r="AB87" s="60"/>
      <c r="AC87" s="60"/>
      <c r="AD87" s="60"/>
      <c r="AE87" s="60"/>
      <c r="AF87" s="60"/>
      <c r="AG87" s="60"/>
      <c r="AH87" s="3"/>
    </row>
    <row r="88" spans="1:34" ht="13" x14ac:dyDescent="0.25">
      <c r="A88" s="269">
        <v>86</v>
      </c>
      <c r="B88" s="60"/>
      <c r="C88" s="60"/>
      <c r="D88" s="61"/>
      <c r="E88" s="60"/>
      <c r="F88" s="60"/>
      <c r="G88" s="60"/>
      <c r="H88" s="60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27" t="str">
        <f t="shared" si="9"/>
        <v xml:space="preserve"> </v>
      </c>
      <c r="U88" s="60"/>
      <c r="V88" s="60"/>
      <c r="W88" s="60"/>
      <c r="X88" s="61"/>
      <c r="Y88" s="270"/>
      <c r="Z88" s="261"/>
      <c r="AA88" s="60"/>
      <c r="AB88" s="60"/>
      <c r="AC88" s="60"/>
      <c r="AD88" s="60"/>
      <c r="AE88" s="60"/>
      <c r="AF88" s="60"/>
      <c r="AG88" s="60"/>
      <c r="AH88" s="3"/>
    </row>
    <row r="89" spans="1:34" ht="13" x14ac:dyDescent="0.25">
      <c r="A89" s="271">
        <v>87</v>
      </c>
      <c r="B89" s="60"/>
      <c r="C89" s="60"/>
      <c r="D89" s="61"/>
      <c r="E89" s="60"/>
      <c r="F89" s="60"/>
      <c r="G89" s="60"/>
      <c r="H89" s="60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27" t="str">
        <f t="shared" si="9"/>
        <v xml:space="preserve"> </v>
      </c>
      <c r="U89" s="60"/>
      <c r="V89" s="60"/>
      <c r="W89" s="60"/>
      <c r="X89" s="61"/>
      <c r="Y89" s="270"/>
      <c r="Z89" s="261"/>
      <c r="AA89" s="60"/>
      <c r="AB89" s="60"/>
      <c r="AC89" s="60"/>
      <c r="AD89" s="60"/>
      <c r="AE89" s="60"/>
      <c r="AF89" s="60"/>
      <c r="AG89" s="60"/>
      <c r="AH89" s="3"/>
    </row>
    <row r="90" spans="1:34" ht="13" x14ac:dyDescent="0.25">
      <c r="A90" s="269">
        <v>88</v>
      </c>
      <c r="B90" s="60"/>
      <c r="C90" s="60"/>
      <c r="D90" s="61"/>
      <c r="E90" s="60"/>
      <c r="F90" s="60"/>
      <c r="G90" s="60"/>
      <c r="H90" s="60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27" t="str">
        <f t="shared" si="9"/>
        <v xml:space="preserve"> </v>
      </c>
      <c r="U90" s="60"/>
      <c r="V90" s="60"/>
      <c r="W90" s="60"/>
      <c r="X90" s="61"/>
      <c r="Y90" s="270"/>
      <c r="Z90" s="261"/>
      <c r="AA90" s="60"/>
      <c r="AB90" s="60"/>
      <c r="AC90" s="60"/>
      <c r="AD90" s="60"/>
      <c r="AE90" s="60"/>
      <c r="AF90" s="60"/>
      <c r="AG90" s="60"/>
      <c r="AH90" s="3"/>
    </row>
    <row r="91" spans="1:34" ht="13" x14ac:dyDescent="0.25">
      <c r="A91" s="271">
        <v>89</v>
      </c>
      <c r="B91" s="60"/>
      <c r="C91" s="60"/>
      <c r="D91" s="61"/>
      <c r="E91" s="60"/>
      <c r="F91" s="60"/>
      <c r="G91" s="60"/>
      <c r="H91" s="60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27" t="str">
        <f t="shared" si="9"/>
        <v xml:space="preserve"> </v>
      </c>
      <c r="U91" s="60"/>
      <c r="V91" s="60"/>
      <c r="W91" s="60"/>
      <c r="X91" s="61"/>
      <c r="Y91" s="270"/>
      <c r="Z91" s="261"/>
      <c r="AA91" s="60"/>
      <c r="AB91" s="60"/>
      <c r="AC91" s="60"/>
      <c r="AD91" s="60"/>
      <c r="AE91" s="60"/>
      <c r="AF91" s="60"/>
      <c r="AG91" s="60"/>
      <c r="AH91" s="3"/>
    </row>
    <row r="92" spans="1:34" ht="13" x14ac:dyDescent="0.25">
      <c r="A92" s="269">
        <v>90</v>
      </c>
      <c r="B92" s="60"/>
      <c r="C92" s="60"/>
      <c r="D92" s="61"/>
      <c r="E92" s="60"/>
      <c r="F92" s="60"/>
      <c r="G92" s="60"/>
      <c r="H92" s="60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27" t="str">
        <f t="shared" si="9"/>
        <v xml:space="preserve"> </v>
      </c>
      <c r="U92" s="60"/>
      <c r="V92" s="60"/>
      <c r="W92" s="60"/>
      <c r="X92" s="61"/>
      <c r="Y92" s="270"/>
      <c r="Z92" s="261"/>
      <c r="AA92" s="60"/>
      <c r="AB92" s="60"/>
      <c r="AC92" s="60"/>
      <c r="AD92" s="60"/>
      <c r="AE92" s="60"/>
      <c r="AF92" s="60"/>
      <c r="AG92" s="60"/>
      <c r="AH92" s="3"/>
    </row>
    <row r="93" spans="1:34" ht="13" x14ac:dyDescent="0.25">
      <c r="A93" s="271">
        <v>91</v>
      </c>
      <c r="B93" s="60"/>
      <c r="C93" s="60"/>
      <c r="D93" s="61"/>
      <c r="E93" s="60"/>
      <c r="F93" s="60"/>
      <c r="G93" s="60"/>
      <c r="H93" s="60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27" t="str">
        <f t="shared" si="9"/>
        <v xml:space="preserve"> </v>
      </c>
      <c r="U93" s="60"/>
      <c r="V93" s="60"/>
      <c r="W93" s="60"/>
      <c r="X93" s="61"/>
      <c r="Y93" s="270"/>
      <c r="Z93" s="261"/>
      <c r="AA93" s="60"/>
      <c r="AB93" s="60"/>
      <c r="AC93" s="60"/>
      <c r="AD93" s="60"/>
      <c r="AE93" s="60"/>
      <c r="AF93" s="60"/>
      <c r="AG93" s="60"/>
      <c r="AH93" s="3"/>
    </row>
    <row r="94" spans="1:34" ht="13" x14ac:dyDescent="0.25">
      <c r="A94" s="269">
        <v>92</v>
      </c>
      <c r="B94" s="60"/>
      <c r="C94" s="60"/>
      <c r="D94" s="61"/>
      <c r="E94" s="60"/>
      <c r="F94" s="60"/>
      <c r="G94" s="60"/>
      <c r="H94" s="60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27" t="str">
        <f t="shared" si="9"/>
        <v xml:space="preserve"> </v>
      </c>
      <c r="U94" s="60"/>
      <c r="V94" s="60"/>
      <c r="W94" s="60"/>
      <c r="X94" s="61"/>
      <c r="Y94" s="270"/>
      <c r="Z94" s="261"/>
      <c r="AA94" s="60"/>
      <c r="AB94" s="60"/>
      <c r="AC94" s="60"/>
      <c r="AD94" s="60"/>
      <c r="AE94" s="60"/>
      <c r="AF94" s="60"/>
      <c r="AG94" s="60"/>
      <c r="AH94" s="3"/>
    </row>
    <row r="95" spans="1:34" ht="13" x14ac:dyDescent="0.25">
      <c r="A95" s="271">
        <v>93</v>
      </c>
      <c r="B95" s="60"/>
      <c r="C95" s="60"/>
      <c r="D95" s="61"/>
      <c r="E95" s="60"/>
      <c r="F95" s="60"/>
      <c r="G95" s="60"/>
      <c r="H95" s="60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27" t="str">
        <f t="shared" si="9"/>
        <v xml:space="preserve"> </v>
      </c>
      <c r="U95" s="60"/>
      <c r="V95" s="60"/>
      <c r="W95" s="60"/>
      <c r="X95" s="61"/>
      <c r="Y95" s="270"/>
      <c r="Z95" s="261"/>
      <c r="AA95" s="60"/>
      <c r="AB95" s="60"/>
      <c r="AC95" s="60"/>
      <c r="AD95" s="60"/>
      <c r="AE95" s="60"/>
      <c r="AF95" s="60"/>
      <c r="AG95" s="60"/>
      <c r="AH95" s="3"/>
    </row>
    <row r="96" spans="1:34" ht="13" x14ac:dyDescent="0.25">
      <c r="A96" s="269">
        <v>94</v>
      </c>
      <c r="B96" s="60"/>
      <c r="C96" s="60"/>
      <c r="D96" s="61"/>
      <c r="E96" s="60"/>
      <c r="F96" s="60"/>
      <c r="G96" s="60"/>
      <c r="H96" s="60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27" t="str">
        <f t="shared" si="9"/>
        <v xml:space="preserve"> </v>
      </c>
      <c r="U96" s="60"/>
      <c r="V96" s="60"/>
      <c r="W96" s="60"/>
      <c r="X96" s="61"/>
      <c r="Y96" s="270"/>
      <c r="Z96" s="261"/>
      <c r="AA96" s="60"/>
      <c r="AB96" s="60"/>
      <c r="AC96" s="60"/>
      <c r="AD96" s="60"/>
      <c r="AE96" s="60"/>
      <c r="AF96" s="60"/>
      <c r="AG96" s="60"/>
      <c r="AH96" s="3"/>
    </row>
    <row r="97" spans="1:34" ht="13" x14ac:dyDescent="0.25">
      <c r="A97" s="271">
        <v>95</v>
      </c>
      <c r="B97" s="60"/>
      <c r="C97" s="60"/>
      <c r="D97" s="61"/>
      <c r="E97" s="60"/>
      <c r="F97" s="60"/>
      <c r="G97" s="60"/>
      <c r="H97" s="60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27" t="str">
        <f t="shared" si="9"/>
        <v xml:space="preserve"> </v>
      </c>
      <c r="U97" s="60"/>
      <c r="V97" s="60"/>
      <c r="W97" s="60"/>
      <c r="X97" s="61"/>
      <c r="Y97" s="270"/>
      <c r="Z97" s="261"/>
      <c r="AA97" s="60"/>
      <c r="AB97" s="60"/>
      <c r="AC97" s="60"/>
      <c r="AD97" s="60"/>
      <c r="AE97" s="60"/>
      <c r="AF97" s="60"/>
      <c r="AG97" s="60"/>
      <c r="AH97" s="3"/>
    </row>
    <row r="98" spans="1:34" ht="13" x14ac:dyDescent="0.25">
      <c r="A98" s="269">
        <v>96</v>
      </c>
      <c r="B98" s="60"/>
      <c r="C98" s="60"/>
      <c r="D98" s="61"/>
      <c r="E98" s="60"/>
      <c r="F98" s="60"/>
      <c r="G98" s="60"/>
      <c r="H98" s="60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27" t="str">
        <f t="shared" si="9"/>
        <v xml:space="preserve"> </v>
      </c>
      <c r="U98" s="60"/>
      <c r="V98" s="60"/>
      <c r="W98" s="60"/>
      <c r="X98" s="61"/>
      <c r="Y98" s="270"/>
      <c r="Z98" s="261"/>
      <c r="AA98" s="60"/>
      <c r="AB98" s="60"/>
      <c r="AC98" s="60"/>
      <c r="AD98" s="60"/>
      <c r="AE98" s="60"/>
      <c r="AF98" s="60"/>
      <c r="AG98" s="60"/>
      <c r="AH98" s="3"/>
    </row>
    <row r="99" spans="1:34" ht="13" x14ac:dyDescent="0.25">
      <c r="A99" s="271">
        <v>97</v>
      </c>
      <c r="B99" s="60"/>
      <c r="C99" s="60"/>
      <c r="D99" s="61"/>
      <c r="E99" s="60"/>
      <c r="F99" s="60"/>
      <c r="G99" s="60"/>
      <c r="H99" s="60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27" t="str">
        <f t="shared" ref="T99:T130" si="10">IF($I99&lt;=0, " ",IF($I99&lt;=0.25, "A",IF($I99&lt;10, "B",IF($I99&lt;100, "C", IF($I99&lt;300, "D",IF($I99&lt;1000, "E",IF($I99&lt;5000,"F",IF($I99&gt;=5000, "G"))))))))</f>
        <v xml:space="preserve"> </v>
      </c>
      <c r="U99" s="60"/>
      <c r="V99" s="60"/>
      <c r="W99" s="60"/>
      <c r="X99" s="61"/>
      <c r="Y99" s="270"/>
      <c r="Z99" s="261"/>
      <c r="AA99" s="60"/>
      <c r="AB99" s="60"/>
      <c r="AC99" s="60"/>
      <c r="AD99" s="60"/>
      <c r="AE99" s="60"/>
      <c r="AF99" s="60"/>
      <c r="AG99" s="60"/>
      <c r="AH99" s="3"/>
    </row>
    <row r="100" spans="1:34" ht="13" x14ac:dyDescent="0.25">
      <c r="A100" s="269">
        <v>98</v>
      </c>
      <c r="B100" s="60"/>
      <c r="C100" s="60"/>
      <c r="D100" s="61"/>
      <c r="E100" s="60"/>
      <c r="F100" s="60"/>
      <c r="G100" s="60"/>
      <c r="H100" s="60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27" t="str">
        <f t="shared" si="10"/>
        <v xml:space="preserve"> </v>
      </c>
      <c r="U100" s="60"/>
      <c r="V100" s="60"/>
      <c r="W100" s="60"/>
      <c r="X100" s="61"/>
      <c r="Y100" s="270"/>
      <c r="Z100" s="261"/>
      <c r="AA100" s="60"/>
      <c r="AB100" s="60"/>
      <c r="AC100" s="60"/>
      <c r="AD100" s="60"/>
      <c r="AE100" s="60"/>
      <c r="AF100" s="60"/>
      <c r="AG100" s="60"/>
      <c r="AH100" s="3"/>
    </row>
    <row r="101" spans="1:34" ht="13" x14ac:dyDescent="0.25">
      <c r="A101" s="271">
        <v>99</v>
      </c>
      <c r="B101" s="60"/>
      <c r="C101" s="60"/>
      <c r="D101" s="61"/>
      <c r="E101" s="60"/>
      <c r="F101" s="60"/>
      <c r="G101" s="60"/>
      <c r="H101" s="60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27" t="str">
        <f t="shared" si="10"/>
        <v xml:space="preserve"> </v>
      </c>
      <c r="U101" s="60"/>
      <c r="V101" s="60"/>
      <c r="W101" s="60"/>
      <c r="X101" s="61"/>
      <c r="Y101" s="270"/>
      <c r="Z101" s="261"/>
      <c r="AA101" s="60"/>
      <c r="AB101" s="60"/>
      <c r="AC101" s="60"/>
      <c r="AD101" s="60"/>
      <c r="AE101" s="60"/>
      <c r="AF101" s="60"/>
      <c r="AG101" s="60"/>
    </row>
    <row r="102" spans="1:34" ht="13" x14ac:dyDescent="0.25">
      <c r="A102" s="269">
        <v>100</v>
      </c>
      <c r="B102" s="60"/>
      <c r="C102" s="60"/>
      <c r="D102" s="61"/>
      <c r="E102" s="60"/>
      <c r="F102" s="60"/>
      <c r="G102" s="60"/>
      <c r="H102" s="60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27" t="str">
        <f t="shared" si="10"/>
        <v xml:space="preserve"> </v>
      </c>
      <c r="U102" s="60"/>
      <c r="V102" s="60"/>
      <c r="W102" s="60"/>
      <c r="X102" s="61"/>
      <c r="Y102" s="270"/>
      <c r="Z102" s="261"/>
      <c r="AA102" s="60"/>
      <c r="AB102" s="60"/>
      <c r="AC102" s="60"/>
      <c r="AD102" s="60"/>
      <c r="AE102" s="60"/>
      <c r="AF102" s="60"/>
      <c r="AG102" s="60"/>
    </row>
    <row r="103" spans="1:34" ht="13" x14ac:dyDescent="0.25">
      <c r="A103" s="271">
        <v>101</v>
      </c>
      <c r="B103" s="60"/>
      <c r="C103" s="60"/>
      <c r="D103" s="61"/>
      <c r="E103" s="60"/>
      <c r="F103" s="60"/>
      <c r="G103" s="60"/>
      <c r="H103" s="60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27" t="str">
        <f t="shared" si="10"/>
        <v xml:space="preserve"> </v>
      </c>
      <c r="U103" s="60"/>
      <c r="V103" s="60"/>
      <c r="W103" s="60"/>
      <c r="X103" s="61"/>
      <c r="Y103" s="270"/>
      <c r="Z103" s="261"/>
      <c r="AA103" s="60"/>
      <c r="AB103" s="60"/>
      <c r="AC103" s="60"/>
      <c r="AD103" s="60"/>
      <c r="AE103" s="60"/>
      <c r="AF103" s="60"/>
      <c r="AG103" s="60"/>
    </row>
    <row r="104" spans="1:34" ht="13" x14ac:dyDescent="0.25">
      <c r="A104" s="269">
        <v>102</v>
      </c>
      <c r="B104" s="60"/>
      <c r="C104" s="60"/>
      <c r="D104" s="61"/>
      <c r="E104" s="60"/>
      <c r="F104" s="60"/>
      <c r="G104" s="60"/>
      <c r="H104" s="60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27" t="str">
        <f t="shared" si="10"/>
        <v xml:space="preserve"> </v>
      </c>
      <c r="U104" s="60"/>
      <c r="V104" s="60"/>
      <c r="W104" s="60"/>
      <c r="X104" s="61"/>
      <c r="Y104" s="270"/>
      <c r="Z104" s="261"/>
      <c r="AA104" s="60"/>
      <c r="AB104" s="60"/>
      <c r="AC104" s="60"/>
      <c r="AD104" s="60"/>
      <c r="AE104" s="60"/>
      <c r="AF104" s="60"/>
      <c r="AG104" s="60"/>
    </row>
    <row r="105" spans="1:34" ht="13" x14ac:dyDescent="0.25">
      <c r="A105" s="271">
        <v>103</v>
      </c>
      <c r="B105" s="60"/>
      <c r="C105" s="60"/>
      <c r="D105" s="61"/>
      <c r="E105" s="60"/>
      <c r="F105" s="60"/>
      <c r="G105" s="60"/>
      <c r="H105" s="60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27" t="str">
        <f t="shared" si="10"/>
        <v xml:space="preserve"> </v>
      </c>
      <c r="U105" s="60"/>
      <c r="V105" s="60"/>
      <c r="W105" s="60"/>
      <c r="X105" s="61"/>
      <c r="Y105" s="270"/>
      <c r="Z105" s="261"/>
      <c r="AA105" s="60"/>
      <c r="AB105" s="60"/>
      <c r="AC105" s="60"/>
      <c r="AD105" s="60"/>
      <c r="AE105" s="60"/>
      <c r="AF105" s="60"/>
      <c r="AG105" s="60"/>
    </row>
    <row r="106" spans="1:34" ht="13" x14ac:dyDescent="0.25">
      <c r="A106" s="269">
        <v>104</v>
      </c>
      <c r="B106" s="60"/>
      <c r="C106" s="60"/>
      <c r="D106" s="61"/>
      <c r="E106" s="60"/>
      <c r="F106" s="60"/>
      <c r="G106" s="60"/>
      <c r="H106" s="60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27" t="str">
        <f t="shared" si="10"/>
        <v xml:space="preserve"> </v>
      </c>
      <c r="U106" s="60"/>
      <c r="V106" s="60"/>
      <c r="W106" s="60"/>
      <c r="X106" s="61"/>
      <c r="Y106" s="270"/>
      <c r="Z106" s="261"/>
      <c r="AA106" s="60"/>
      <c r="AB106" s="60"/>
      <c r="AC106" s="60"/>
      <c r="AD106" s="60"/>
      <c r="AE106" s="60"/>
      <c r="AF106" s="60"/>
      <c r="AG106" s="60"/>
    </row>
    <row r="107" spans="1:34" ht="13" x14ac:dyDescent="0.25">
      <c r="A107" s="271">
        <v>105</v>
      </c>
      <c r="B107" s="60"/>
      <c r="C107" s="60"/>
      <c r="D107" s="61"/>
      <c r="E107" s="60"/>
      <c r="F107" s="60"/>
      <c r="G107" s="60"/>
      <c r="H107" s="60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27" t="str">
        <f t="shared" si="10"/>
        <v xml:space="preserve"> </v>
      </c>
      <c r="U107" s="60"/>
      <c r="V107" s="60"/>
      <c r="W107" s="60"/>
      <c r="X107" s="61"/>
      <c r="Y107" s="270"/>
      <c r="Z107" s="261"/>
      <c r="AA107" s="60"/>
      <c r="AB107" s="60"/>
      <c r="AC107" s="60"/>
      <c r="AD107" s="60"/>
      <c r="AE107" s="60"/>
      <c r="AF107" s="60"/>
      <c r="AG107" s="60"/>
    </row>
    <row r="108" spans="1:34" ht="13" x14ac:dyDescent="0.25">
      <c r="A108" s="269">
        <v>106</v>
      </c>
      <c r="B108" s="60"/>
      <c r="C108" s="60"/>
      <c r="D108" s="61"/>
      <c r="E108" s="60"/>
      <c r="F108" s="60"/>
      <c r="G108" s="60"/>
      <c r="H108" s="60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27" t="str">
        <f t="shared" si="10"/>
        <v xml:space="preserve"> </v>
      </c>
      <c r="U108" s="60"/>
      <c r="V108" s="60"/>
      <c r="W108" s="60"/>
      <c r="X108" s="61"/>
      <c r="Y108" s="270"/>
      <c r="Z108" s="261"/>
      <c r="AA108" s="60"/>
      <c r="AB108" s="60"/>
      <c r="AC108" s="60"/>
      <c r="AD108" s="60"/>
      <c r="AE108" s="60"/>
      <c r="AF108" s="60"/>
      <c r="AG108" s="60"/>
    </row>
    <row r="109" spans="1:34" ht="13" x14ac:dyDescent="0.25">
      <c r="A109" s="271">
        <v>107</v>
      </c>
      <c r="B109" s="60"/>
      <c r="C109" s="60"/>
      <c r="D109" s="61"/>
      <c r="E109" s="60"/>
      <c r="F109" s="60"/>
      <c r="G109" s="60"/>
      <c r="H109" s="60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27" t="str">
        <f t="shared" si="10"/>
        <v xml:space="preserve"> </v>
      </c>
      <c r="U109" s="60"/>
      <c r="V109" s="60"/>
      <c r="W109" s="60"/>
      <c r="X109" s="61"/>
      <c r="Y109" s="270"/>
      <c r="Z109" s="261"/>
      <c r="AA109" s="60"/>
      <c r="AB109" s="60"/>
      <c r="AC109" s="60"/>
      <c r="AD109" s="60"/>
      <c r="AE109" s="60"/>
      <c r="AF109" s="60"/>
      <c r="AG109" s="60"/>
    </row>
    <row r="110" spans="1:34" ht="13" x14ac:dyDescent="0.25">
      <c r="A110" s="269">
        <v>108</v>
      </c>
      <c r="B110" s="60"/>
      <c r="C110" s="60"/>
      <c r="D110" s="61"/>
      <c r="E110" s="60"/>
      <c r="F110" s="60"/>
      <c r="G110" s="60"/>
      <c r="H110" s="60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27" t="str">
        <f t="shared" si="10"/>
        <v xml:space="preserve"> </v>
      </c>
      <c r="U110" s="60"/>
      <c r="V110" s="60"/>
      <c r="W110" s="60"/>
      <c r="X110" s="61"/>
      <c r="Y110" s="270"/>
      <c r="Z110" s="261"/>
      <c r="AA110" s="60"/>
      <c r="AB110" s="60"/>
      <c r="AC110" s="60"/>
      <c r="AD110" s="60"/>
      <c r="AE110" s="60"/>
      <c r="AF110" s="60"/>
      <c r="AG110" s="60"/>
    </row>
    <row r="111" spans="1:34" ht="13" x14ac:dyDescent="0.25">
      <c r="A111" s="271">
        <v>109</v>
      </c>
      <c r="B111" s="60"/>
      <c r="C111" s="60"/>
      <c r="D111" s="61"/>
      <c r="E111" s="60"/>
      <c r="F111" s="60"/>
      <c r="G111" s="60"/>
      <c r="H111" s="60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27" t="str">
        <f t="shared" si="10"/>
        <v xml:space="preserve"> </v>
      </c>
      <c r="U111" s="60"/>
      <c r="V111" s="60"/>
      <c r="W111" s="60"/>
      <c r="X111" s="61"/>
      <c r="Y111" s="270"/>
      <c r="Z111" s="261"/>
      <c r="AA111" s="60"/>
      <c r="AB111" s="60"/>
      <c r="AC111" s="60"/>
      <c r="AD111" s="60"/>
      <c r="AE111" s="60"/>
      <c r="AF111" s="60"/>
      <c r="AG111" s="60"/>
    </row>
    <row r="112" spans="1:34" ht="13" x14ac:dyDescent="0.25">
      <c r="A112" s="269">
        <v>110</v>
      </c>
      <c r="B112" s="60"/>
      <c r="C112" s="60"/>
      <c r="D112" s="61"/>
      <c r="E112" s="60"/>
      <c r="F112" s="60"/>
      <c r="G112" s="60"/>
      <c r="H112" s="60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27" t="str">
        <f t="shared" si="10"/>
        <v xml:space="preserve"> </v>
      </c>
      <c r="U112" s="60"/>
      <c r="V112" s="60"/>
      <c r="W112" s="60"/>
      <c r="X112" s="61"/>
      <c r="Y112" s="270"/>
      <c r="Z112" s="261"/>
      <c r="AA112" s="60"/>
      <c r="AB112" s="60"/>
      <c r="AC112" s="60"/>
      <c r="AD112" s="60"/>
      <c r="AE112" s="60"/>
      <c r="AF112" s="60"/>
      <c r="AG112" s="60"/>
    </row>
    <row r="113" spans="1:33" ht="13" x14ac:dyDescent="0.25">
      <c r="A113" s="271">
        <v>111</v>
      </c>
      <c r="B113" s="60"/>
      <c r="C113" s="60"/>
      <c r="D113" s="61"/>
      <c r="E113" s="60"/>
      <c r="F113" s="60"/>
      <c r="G113" s="60"/>
      <c r="H113" s="60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27" t="str">
        <f t="shared" si="10"/>
        <v xml:space="preserve"> </v>
      </c>
      <c r="U113" s="60"/>
      <c r="V113" s="60"/>
      <c r="W113" s="60"/>
      <c r="X113" s="61"/>
      <c r="Y113" s="270"/>
      <c r="Z113" s="261"/>
      <c r="AA113" s="60"/>
      <c r="AB113" s="60"/>
      <c r="AC113" s="60"/>
      <c r="AD113" s="60"/>
      <c r="AE113" s="60"/>
      <c r="AF113" s="60"/>
      <c r="AG113" s="60"/>
    </row>
    <row r="114" spans="1:33" ht="13" x14ac:dyDescent="0.25">
      <c r="A114" s="269">
        <v>112</v>
      </c>
      <c r="B114" s="60"/>
      <c r="C114" s="60"/>
      <c r="D114" s="61"/>
      <c r="E114" s="60"/>
      <c r="F114" s="60"/>
      <c r="G114" s="60"/>
      <c r="H114" s="60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27" t="str">
        <f t="shared" si="10"/>
        <v xml:space="preserve"> </v>
      </c>
      <c r="U114" s="60"/>
      <c r="V114" s="60"/>
      <c r="W114" s="60"/>
      <c r="X114" s="61"/>
      <c r="Y114" s="270"/>
      <c r="Z114" s="261"/>
      <c r="AA114" s="60"/>
      <c r="AB114" s="60"/>
      <c r="AC114" s="60"/>
      <c r="AD114" s="60"/>
      <c r="AE114" s="60"/>
      <c r="AF114" s="60"/>
      <c r="AG114" s="60"/>
    </row>
    <row r="115" spans="1:33" ht="13" x14ac:dyDescent="0.25">
      <c r="A115" s="271">
        <v>113</v>
      </c>
      <c r="B115" s="60"/>
      <c r="C115" s="60"/>
      <c r="D115" s="61"/>
      <c r="E115" s="60"/>
      <c r="F115" s="60"/>
      <c r="G115" s="60"/>
      <c r="H115" s="60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27" t="str">
        <f t="shared" si="10"/>
        <v xml:space="preserve"> </v>
      </c>
      <c r="U115" s="60"/>
      <c r="V115" s="60"/>
      <c r="W115" s="60"/>
      <c r="X115" s="61"/>
      <c r="Y115" s="270"/>
      <c r="Z115" s="261"/>
      <c r="AA115" s="60"/>
      <c r="AB115" s="60"/>
      <c r="AC115" s="60"/>
      <c r="AD115" s="60"/>
      <c r="AE115" s="60"/>
      <c r="AF115" s="60"/>
      <c r="AG115" s="60"/>
    </row>
    <row r="116" spans="1:33" ht="13" x14ac:dyDescent="0.25">
      <c r="A116" s="269">
        <v>114</v>
      </c>
      <c r="B116" s="60"/>
      <c r="C116" s="60"/>
      <c r="D116" s="61"/>
      <c r="E116" s="60"/>
      <c r="F116" s="60"/>
      <c r="G116" s="60"/>
      <c r="H116" s="60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27" t="str">
        <f t="shared" si="10"/>
        <v xml:space="preserve"> </v>
      </c>
      <c r="U116" s="60"/>
      <c r="V116" s="60"/>
      <c r="W116" s="60"/>
      <c r="X116" s="61"/>
      <c r="Y116" s="270"/>
      <c r="Z116" s="261"/>
      <c r="AA116" s="60"/>
      <c r="AB116" s="60"/>
      <c r="AC116" s="60"/>
      <c r="AD116" s="60"/>
      <c r="AE116" s="60"/>
      <c r="AF116" s="60"/>
      <c r="AG116" s="60"/>
    </row>
    <row r="117" spans="1:33" ht="13" x14ac:dyDescent="0.25">
      <c r="A117" s="271">
        <v>115</v>
      </c>
      <c r="B117" s="60"/>
      <c r="C117" s="60"/>
      <c r="D117" s="61"/>
      <c r="E117" s="60"/>
      <c r="F117" s="60"/>
      <c r="G117" s="60"/>
      <c r="H117" s="60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27" t="str">
        <f t="shared" si="10"/>
        <v xml:space="preserve"> </v>
      </c>
      <c r="U117" s="60"/>
      <c r="V117" s="60"/>
      <c r="W117" s="60"/>
      <c r="X117" s="61"/>
      <c r="Y117" s="270"/>
      <c r="Z117" s="261"/>
      <c r="AA117" s="60"/>
      <c r="AB117" s="60"/>
      <c r="AC117" s="60"/>
      <c r="AD117" s="60"/>
      <c r="AE117" s="60"/>
      <c r="AF117" s="60"/>
      <c r="AG117" s="60"/>
    </row>
    <row r="118" spans="1:33" ht="13" x14ac:dyDescent="0.25">
      <c r="A118" s="269">
        <v>116</v>
      </c>
      <c r="B118" s="60"/>
      <c r="C118" s="60"/>
      <c r="D118" s="61"/>
      <c r="E118" s="60"/>
      <c r="F118" s="60"/>
      <c r="G118" s="60"/>
      <c r="H118" s="60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27" t="str">
        <f t="shared" si="10"/>
        <v xml:space="preserve"> </v>
      </c>
      <c r="U118" s="60"/>
      <c r="V118" s="60"/>
      <c r="W118" s="60"/>
      <c r="X118" s="61"/>
      <c r="Y118" s="270"/>
      <c r="Z118" s="261"/>
      <c r="AA118" s="60"/>
      <c r="AB118" s="60"/>
      <c r="AC118" s="60"/>
      <c r="AD118" s="60"/>
      <c r="AE118" s="60"/>
      <c r="AF118" s="60"/>
      <c r="AG118" s="60"/>
    </row>
    <row r="119" spans="1:33" ht="13" x14ac:dyDescent="0.25">
      <c r="A119" s="271">
        <v>117</v>
      </c>
      <c r="B119" s="60"/>
      <c r="C119" s="60"/>
      <c r="D119" s="61"/>
      <c r="E119" s="60"/>
      <c r="F119" s="60"/>
      <c r="G119" s="60"/>
      <c r="H119" s="60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27" t="str">
        <f t="shared" si="10"/>
        <v xml:space="preserve"> </v>
      </c>
      <c r="U119" s="60"/>
      <c r="V119" s="60"/>
      <c r="W119" s="60"/>
      <c r="X119" s="61"/>
      <c r="Y119" s="270"/>
      <c r="Z119" s="261"/>
      <c r="AA119" s="60"/>
      <c r="AB119" s="60"/>
      <c r="AC119" s="60"/>
      <c r="AD119" s="60"/>
      <c r="AE119" s="60"/>
      <c r="AF119" s="60"/>
      <c r="AG119" s="60"/>
    </row>
    <row r="120" spans="1:33" ht="13" x14ac:dyDescent="0.25">
      <c r="A120" s="269">
        <v>118</v>
      </c>
      <c r="B120" s="60"/>
      <c r="C120" s="60"/>
      <c r="D120" s="61"/>
      <c r="E120" s="60"/>
      <c r="F120" s="60"/>
      <c r="G120" s="60"/>
      <c r="H120" s="60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27" t="str">
        <f t="shared" si="10"/>
        <v xml:space="preserve"> </v>
      </c>
      <c r="U120" s="60"/>
      <c r="V120" s="60"/>
      <c r="W120" s="60"/>
      <c r="X120" s="61"/>
      <c r="Y120" s="270"/>
      <c r="Z120" s="261"/>
      <c r="AA120" s="60"/>
      <c r="AB120" s="60"/>
      <c r="AC120" s="60"/>
      <c r="AD120" s="60"/>
      <c r="AE120" s="60"/>
      <c r="AF120" s="60"/>
      <c r="AG120" s="60"/>
    </row>
    <row r="121" spans="1:33" ht="13" x14ac:dyDescent="0.25">
      <c r="A121" s="271">
        <v>119</v>
      </c>
      <c r="B121" s="60"/>
      <c r="C121" s="60"/>
      <c r="D121" s="61"/>
      <c r="E121" s="60"/>
      <c r="F121" s="60"/>
      <c r="G121" s="60"/>
      <c r="H121" s="60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27" t="str">
        <f t="shared" si="10"/>
        <v xml:space="preserve"> </v>
      </c>
      <c r="U121" s="60"/>
      <c r="V121" s="60"/>
      <c r="W121" s="60"/>
      <c r="X121" s="61"/>
      <c r="Y121" s="270"/>
      <c r="Z121" s="261"/>
      <c r="AA121" s="60"/>
      <c r="AB121" s="60"/>
      <c r="AC121" s="60"/>
      <c r="AD121" s="60"/>
      <c r="AE121" s="60"/>
      <c r="AF121" s="60"/>
      <c r="AG121" s="60"/>
    </row>
    <row r="122" spans="1:33" ht="13" x14ac:dyDescent="0.25">
      <c r="A122" s="269">
        <v>120</v>
      </c>
      <c r="B122" s="60"/>
      <c r="C122" s="60"/>
      <c r="D122" s="61"/>
      <c r="E122" s="60"/>
      <c r="F122" s="60"/>
      <c r="G122" s="60"/>
      <c r="H122" s="60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27" t="str">
        <f t="shared" si="10"/>
        <v xml:space="preserve"> </v>
      </c>
      <c r="U122" s="60"/>
      <c r="V122" s="60"/>
      <c r="W122" s="60"/>
      <c r="X122" s="61"/>
      <c r="Y122" s="270"/>
      <c r="Z122" s="261"/>
      <c r="AA122" s="60"/>
      <c r="AB122" s="60"/>
      <c r="AC122" s="60"/>
      <c r="AD122" s="60"/>
      <c r="AE122" s="60"/>
      <c r="AF122" s="60"/>
      <c r="AG122" s="60"/>
    </row>
    <row r="123" spans="1:33" ht="13" x14ac:dyDescent="0.25">
      <c r="A123" s="271">
        <v>121</v>
      </c>
      <c r="B123" s="60"/>
      <c r="C123" s="60"/>
      <c r="D123" s="61"/>
      <c r="E123" s="60"/>
      <c r="F123" s="60"/>
      <c r="G123" s="60"/>
      <c r="H123" s="60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27" t="str">
        <f t="shared" si="10"/>
        <v xml:space="preserve"> </v>
      </c>
      <c r="U123" s="60"/>
      <c r="V123" s="60"/>
      <c r="W123" s="60"/>
      <c r="X123" s="61"/>
      <c r="Y123" s="270"/>
      <c r="Z123" s="261"/>
      <c r="AA123" s="60"/>
      <c r="AB123" s="60"/>
      <c r="AC123" s="60"/>
      <c r="AD123" s="60"/>
      <c r="AE123" s="60"/>
      <c r="AF123" s="60"/>
      <c r="AG123" s="60"/>
    </row>
    <row r="124" spans="1:33" ht="13" x14ac:dyDescent="0.25">
      <c r="A124" s="269">
        <v>122</v>
      </c>
      <c r="B124" s="60"/>
      <c r="C124" s="60"/>
      <c r="D124" s="61"/>
      <c r="E124" s="60"/>
      <c r="F124" s="60"/>
      <c r="G124" s="60"/>
      <c r="H124" s="60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27" t="str">
        <f t="shared" si="10"/>
        <v xml:space="preserve"> </v>
      </c>
      <c r="U124" s="60"/>
      <c r="V124" s="60"/>
      <c r="W124" s="60"/>
      <c r="X124" s="61"/>
      <c r="Y124" s="270"/>
      <c r="Z124" s="261"/>
      <c r="AA124" s="60"/>
      <c r="AB124" s="60"/>
      <c r="AC124" s="60"/>
      <c r="AD124" s="60"/>
      <c r="AE124" s="60"/>
      <c r="AF124" s="60"/>
      <c r="AG124" s="60"/>
    </row>
    <row r="125" spans="1:33" ht="13" x14ac:dyDescent="0.25">
      <c r="A125" s="271">
        <v>123</v>
      </c>
      <c r="B125" s="60"/>
      <c r="C125" s="60"/>
      <c r="D125" s="61"/>
      <c r="E125" s="60"/>
      <c r="F125" s="60"/>
      <c r="G125" s="60"/>
      <c r="H125" s="60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27" t="str">
        <f t="shared" si="10"/>
        <v xml:space="preserve"> </v>
      </c>
      <c r="U125" s="60"/>
      <c r="V125" s="60"/>
      <c r="W125" s="60"/>
      <c r="X125" s="61"/>
      <c r="Y125" s="270"/>
      <c r="Z125" s="261"/>
      <c r="AA125" s="60"/>
      <c r="AB125" s="60"/>
      <c r="AC125" s="60"/>
      <c r="AD125" s="60"/>
      <c r="AE125" s="60"/>
      <c r="AF125" s="60"/>
      <c r="AG125" s="60"/>
    </row>
    <row r="126" spans="1:33" ht="13" x14ac:dyDescent="0.25">
      <c r="A126" s="269">
        <v>124</v>
      </c>
      <c r="B126" s="60"/>
      <c r="C126" s="60"/>
      <c r="D126" s="61"/>
      <c r="E126" s="60"/>
      <c r="F126" s="60"/>
      <c r="G126" s="60"/>
      <c r="H126" s="60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27" t="str">
        <f t="shared" si="10"/>
        <v xml:space="preserve"> </v>
      </c>
      <c r="U126" s="60"/>
      <c r="V126" s="60"/>
      <c r="W126" s="60"/>
      <c r="X126" s="61"/>
      <c r="Y126" s="270"/>
      <c r="Z126" s="261"/>
      <c r="AA126" s="60"/>
      <c r="AB126" s="60"/>
      <c r="AC126" s="60"/>
      <c r="AD126" s="60"/>
      <c r="AE126" s="60"/>
      <c r="AF126" s="60"/>
      <c r="AG126" s="60"/>
    </row>
    <row r="127" spans="1:33" ht="13" x14ac:dyDescent="0.25">
      <c r="A127" s="271">
        <v>125</v>
      </c>
      <c r="B127" s="60"/>
      <c r="C127" s="60"/>
      <c r="D127" s="61"/>
      <c r="E127" s="60"/>
      <c r="F127" s="60"/>
      <c r="G127" s="60"/>
      <c r="H127" s="60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27" t="str">
        <f t="shared" si="10"/>
        <v xml:space="preserve"> </v>
      </c>
      <c r="U127" s="60"/>
      <c r="V127" s="60"/>
      <c r="W127" s="60"/>
      <c r="X127" s="61"/>
      <c r="Y127" s="270"/>
      <c r="Z127" s="261"/>
      <c r="AA127" s="60"/>
      <c r="AB127" s="60"/>
      <c r="AC127" s="60"/>
      <c r="AD127" s="60"/>
      <c r="AE127" s="60"/>
      <c r="AF127" s="60"/>
      <c r="AG127" s="60"/>
    </row>
    <row r="128" spans="1:33" ht="13" x14ac:dyDescent="0.25">
      <c r="A128" s="269">
        <v>126</v>
      </c>
      <c r="B128" s="60"/>
      <c r="C128" s="60"/>
      <c r="D128" s="61"/>
      <c r="E128" s="60"/>
      <c r="F128" s="60"/>
      <c r="G128" s="60"/>
      <c r="H128" s="60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27" t="str">
        <f t="shared" si="10"/>
        <v xml:space="preserve"> </v>
      </c>
      <c r="U128" s="60"/>
      <c r="V128" s="60"/>
      <c r="W128" s="60"/>
      <c r="X128" s="61"/>
      <c r="Y128" s="270"/>
      <c r="Z128" s="261"/>
      <c r="AA128" s="60"/>
      <c r="AB128" s="60"/>
      <c r="AC128" s="60"/>
      <c r="AD128" s="60"/>
      <c r="AE128" s="60"/>
      <c r="AF128" s="60"/>
      <c r="AG128" s="60"/>
    </row>
    <row r="129" spans="1:33" ht="13" x14ac:dyDescent="0.25">
      <c r="A129" s="271">
        <v>127</v>
      </c>
      <c r="B129" s="60"/>
      <c r="C129" s="60"/>
      <c r="D129" s="61"/>
      <c r="E129" s="60"/>
      <c r="F129" s="60"/>
      <c r="G129" s="60"/>
      <c r="H129" s="60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27" t="str">
        <f t="shared" si="10"/>
        <v xml:space="preserve"> </v>
      </c>
      <c r="U129" s="60"/>
      <c r="V129" s="60"/>
      <c r="W129" s="60"/>
      <c r="X129" s="61"/>
      <c r="Y129" s="270"/>
      <c r="Z129" s="261"/>
      <c r="AA129" s="60"/>
      <c r="AB129" s="60"/>
      <c r="AC129" s="60"/>
      <c r="AD129" s="60"/>
      <c r="AE129" s="60"/>
      <c r="AF129" s="60"/>
      <c r="AG129" s="60"/>
    </row>
    <row r="130" spans="1:33" ht="13" x14ac:dyDescent="0.25">
      <c r="A130" s="269">
        <v>128</v>
      </c>
      <c r="B130" s="60"/>
      <c r="C130" s="60"/>
      <c r="D130" s="61"/>
      <c r="E130" s="60"/>
      <c r="F130" s="60"/>
      <c r="G130" s="60"/>
      <c r="H130" s="60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27" t="str">
        <f t="shared" si="10"/>
        <v xml:space="preserve"> </v>
      </c>
      <c r="U130" s="60"/>
      <c r="V130" s="60"/>
      <c r="W130" s="60"/>
      <c r="X130" s="61"/>
      <c r="Y130" s="270"/>
      <c r="Z130" s="261"/>
      <c r="AA130" s="60"/>
      <c r="AB130" s="60"/>
      <c r="AC130" s="60"/>
      <c r="AD130" s="60"/>
      <c r="AE130" s="60"/>
      <c r="AF130" s="60"/>
      <c r="AG130" s="60"/>
    </row>
    <row r="131" spans="1:33" ht="13" x14ac:dyDescent="0.25">
      <c r="A131" s="271">
        <v>129</v>
      </c>
      <c r="B131" s="60"/>
      <c r="C131" s="60"/>
      <c r="D131" s="61"/>
      <c r="E131" s="60"/>
      <c r="F131" s="60"/>
      <c r="G131" s="60"/>
      <c r="H131" s="60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27" t="str">
        <f t="shared" ref="T131:T152" si="11">IF($I131&lt;=0, " ",IF($I131&lt;=0.25, "A",IF($I131&lt;10, "B",IF($I131&lt;100, "C", IF($I131&lt;300, "D",IF($I131&lt;1000, "E",IF($I131&lt;5000,"F",IF($I131&gt;=5000, "G"))))))))</f>
        <v xml:space="preserve"> </v>
      </c>
      <c r="U131" s="60"/>
      <c r="V131" s="60"/>
      <c r="W131" s="60"/>
      <c r="X131" s="61"/>
      <c r="Y131" s="270"/>
      <c r="Z131" s="261"/>
      <c r="AA131" s="60"/>
      <c r="AB131" s="60"/>
      <c r="AC131" s="60"/>
      <c r="AD131" s="60"/>
      <c r="AE131" s="60"/>
      <c r="AF131" s="60"/>
      <c r="AG131" s="60"/>
    </row>
    <row r="132" spans="1:33" ht="13" x14ac:dyDescent="0.25">
      <c r="A132" s="269">
        <v>130</v>
      </c>
      <c r="B132" s="60"/>
      <c r="C132" s="60"/>
      <c r="D132" s="61"/>
      <c r="E132" s="60"/>
      <c r="F132" s="60"/>
      <c r="G132" s="60"/>
      <c r="H132" s="60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27" t="str">
        <f t="shared" si="11"/>
        <v xml:space="preserve"> </v>
      </c>
      <c r="U132" s="60"/>
      <c r="V132" s="60"/>
      <c r="W132" s="60"/>
      <c r="X132" s="61"/>
      <c r="Y132" s="270"/>
      <c r="Z132" s="261"/>
      <c r="AA132" s="60"/>
      <c r="AB132" s="60"/>
      <c r="AC132" s="60"/>
      <c r="AD132" s="60"/>
      <c r="AE132" s="60"/>
      <c r="AF132" s="60"/>
      <c r="AG132" s="60"/>
    </row>
    <row r="133" spans="1:33" ht="13" x14ac:dyDescent="0.25">
      <c r="A133" s="271">
        <v>131</v>
      </c>
      <c r="B133" s="60"/>
      <c r="C133" s="60"/>
      <c r="D133" s="61"/>
      <c r="E133" s="60"/>
      <c r="F133" s="60"/>
      <c r="G133" s="60"/>
      <c r="H133" s="60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27" t="str">
        <f t="shared" si="11"/>
        <v xml:space="preserve"> </v>
      </c>
      <c r="U133" s="60"/>
      <c r="V133" s="60"/>
      <c r="W133" s="60"/>
      <c r="X133" s="61"/>
      <c r="Y133" s="270"/>
      <c r="Z133" s="261"/>
      <c r="AA133" s="60"/>
      <c r="AB133" s="60"/>
      <c r="AC133" s="60"/>
      <c r="AD133" s="60"/>
      <c r="AE133" s="60"/>
      <c r="AF133" s="60"/>
      <c r="AG133" s="60"/>
    </row>
    <row r="134" spans="1:33" ht="13" x14ac:dyDescent="0.25">
      <c r="A134" s="269">
        <v>132</v>
      </c>
      <c r="B134" s="60"/>
      <c r="C134" s="60"/>
      <c r="D134" s="61"/>
      <c r="E134" s="60"/>
      <c r="F134" s="60"/>
      <c r="G134" s="60"/>
      <c r="H134" s="60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27" t="str">
        <f t="shared" si="11"/>
        <v xml:space="preserve"> </v>
      </c>
      <c r="U134" s="60"/>
      <c r="V134" s="60"/>
      <c r="W134" s="60"/>
      <c r="X134" s="61"/>
      <c r="Y134" s="270"/>
      <c r="Z134" s="261"/>
      <c r="AA134" s="60"/>
      <c r="AB134" s="60"/>
      <c r="AC134" s="60"/>
      <c r="AD134" s="60"/>
      <c r="AE134" s="60"/>
      <c r="AF134" s="60"/>
      <c r="AG134" s="60"/>
    </row>
    <row r="135" spans="1:33" ht="13" x14ac:dyDescent="0.25">
      <c r="A135" s="271">
        <v>133</v>
      </c>
      <c r="B135" s="60"/>
      <c r="C135" s="60"/>
      <c r="D135" s="61"/>
      <c r="E135" s="60"/>
      <c r="F135" s="60"/>
      <c r="G135" s="60"/>
      <c r="H135" s="60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27" t="str">
        <f t="shared" si="11"/>
        <v xml:space="preserve"> </v>
      </c>
      <c r="U135" s="60"/>
      <c r="V135" s="60"/>
      <c r="W135" s="60"/>
      <c r="X135" s="61"/>
      <c r="Y135" s="270"/>
      <c r="Z135" s="261"/>
      <c r="AA135" s="60"/>
      <c r="AB135" s="60"/>
      <c r="AC135" s="60"/>
      <c r="AD135" s="60"/>
      <c r="AE135" s="60"/>
      <c r="AF135" s="60"/>
      <c r="AG135" s="60"/>
    </row>
    <row r="136" spans="1:33" ht="13" x14ac:dyDescent="0.25">
      <c r="A136" s="269">
        <v>134</v>
      </c>
      <c r="B136" s="60"/>
      <c r="C136" s="60"/>
      <c r="D136" s="61"/>
      <c r="E136" s="60"/>
      <c r="F136" s="60"/>
      <c r="G136" s="60"/>
      <c r="H136" s="60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27" t="str">
        <f t="shared" si="11"/>
        <v xml:space="preserve"> </v>
      </c>
      <c r="U136" s="60"/>
      <c r="V136" s="60"/>
      <c r="W136" s="60"/>
      <c r="X136" s="61"/>
      <c r="Y136" s="270"/>
      <c r="Z136" s="261"/>
      <c r="AA136" s="60"/>
      <c r="AB136" s="60"/>
      <c r="AC136" s="60"/>
      <c r="AD136" s="60"/>
      <c r="AE136" s="60"/>
      <c r="AF136" s="60"/>
      <c r="AG136" s="60"/>
    </row>
    <row r="137" spans="1:33" ht="13" x14ac:dyDescent="0.25">
      <c r="A137" s="271">
        <v>135</v>
      </c>
      <c r="B137" s="60"/>
      <c r="C137" s="60"/>
      <c r="D137" s="61"/>
      <c r="E137" s="60"/>
      <c r="F137" s="60"/>
      <c r="G137" s="60"/>
      <c r="H137" s="60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27" t="str">
        <f t="shared" si="11"/>
        <v xml:space="preserve"> </v>
      </c>
      <c r="U137" s="60"/>
      <c r="V137" s="60"/>
      <c r="W137" s="60"/>
      <c r="X137" s="61"/>
      <c r="Y137" s="270"/>
      <c r="Z137" s="261"/>
      <c r="AA137" s="60"/>
      <c r="AB137" s="60"/>
      <c r="AC137" s="60"/>
      <c r="AD137" s="60"/>
      <c r="AE137" s="60"/>
      <c r="AF137" s="60"/>
      <c r="AG137" s="60"/>
    </row>
    <row r="138" spans="1:33" ht="13" x14ac:dyDescent="0.25">
      <c r="A138" s="269">
        <v>136</v>
      </c>
      <c r="B138" s="60"/>
      <c r="C138" s="60"/>
      <c r="D138" s="61"/>
      <c r="E138" s="60"/>
      <c r="F138" s="60"/>
      <c r="G138" s="60"/>
      <c r="H138" s="60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27" t="str">
        <f t="shared" si="11"/>
        <v xml:space="preserve"> </v>
      </c>
      <c r="U138" s="60"/>
      <c r="V138" s="60"/>
      <c r="W138" s="60"/>
      <c r="X138" s="61"/>
      <c r="Y138" s="270"/>
      <c r="Z138" s="261"/>
      <c r="AA138" s="60"/>
      <c r="AB138" s="60"/>
      <c r="AC138" s="60"/>
      <c r="AD138" s="60"/>
      <c r="AE138" s="60"/>
      <c r="AF138" s="60"/>
      <c r="AG138" s="60"/>
    </row>
    <row r="139" spans="1:33" ht="13" x14ac:dyDescent="0.25">
      <c r="A139" s="271">
        <v>137</v>
      </c>
      <c r="B139" s="60"/>
      <c r="C139" s="60"/>
      <c r="D139" s="61"/>
      <c r="E139" s="60"/>
      <c r="F139" s="60"/>
      <c r="G139" s="60"/>
      <c r="H139" s="60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27" t="str">
        <f t="shared" si="11"/>
        <v xml:space="preserve"> </v>
      </c>
      <c r="U139" s="60"/>
      <c r="V139" s="60"/>
      <c r="W139" s="60"/>
      <c r="X139" s="61"/>
      <c r="Y139" s="270"/>
      <c r="Z139" s="261"/>
      <c r="AA139" s="60"/>
      <c r="AB139" s="60"/>
      <c r="AC139" s="60"/>
      <c r="AD139" s="60"/>
      <c r="AE139" s="60"/>
      <c r="AF139" s="60"/>
      <c r="AG139" s="60"/>
    </row>
    <row r="140" spans="1:33" ht="13" x14ac:dyDescent="0.25">
      <c r="A140" s="269">
        <v>138</v>
      </c>
      <c r="B140" s="60"/>
      <c r="C140" s="60"/>
      <c r="D140" s="61"/>
      <c r="E140" s="60"/>
      <c r="F140" s="60"/>
      <c r="G140" s="60"/>
      <c r="H140" s="60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27" t="str">
        <f t="shared" si="11"/>
        <v xml:space="preserve"> </v>
      </c>
      <c r="U140" s="60"/>
      <c r="V140" s="60"/>
      <c r="W140" s="60"/>
      <c r="X140" s="61"/>
      <c r="Y140" s="270"/>
      <c r="Z140" s="261"/>
      <c r="AA140" s="60"/>
      <c r="AB140" s="60"/>
      <c r="AC140" s="60"/>
      <c r="AD140" s="60"/>
      <c r="AE140" s="60"/>
      <c r="AF140" s="60"/>
      <c r="AG140" s="60"/>
    </row>
    <row r="141" spans="1:33" ht="13" x14ac:dyDescent="0.25">
      <c r="A141" s="271">
        <v>139</v>
      </c>
      <c r="B141" s="60"/>
      <c r="C141" s="60"/>
      <c r="D141" s="61"/>
      <c r="E141" s="60"/>
      <c r="F141" s="60"/>
      <c r="G141" s="60"/>
      <c r="H141" s="60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27" t="str">
        <f t="shared" si="11"/>
        <v xml:space="preserve"> </v>
      </c>
      <c r="U141" s="60"/>
      <c r="V141" s="60"/>
      <c r="W141" s="60"/>
      <c r="X141" s="61"/>
      <c r="Y141" s="270"/>
      <c r="Z141" s="261"/>
      <c r="AA141" s="60"/>
      <c r="AB141" s="60"/>
      <c r="AC141" s="60"/>
      <c r="AD141" s="60"/>
      <c r="AE141" s="60"/>
      <c r="AF141" s="60"/>
      <c r="AG141" s="60"/>
    </row>
    <row r="142" spans="1:33" ht="13" x14ac:dyDescent="0.25">
      <c r="A142" s="269">
        <v>140</v>
      </c>
      <c r="B142" s="60"/>
      <c r="C142" s="60"/>
      <c r="D142" s="61"/>
      <c r="E142" s="60"/>
      <c r="F142" s="60"/>
      <c r="G142" s="60"/>
      <c r="H142" s="60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27" t="str">
        <f t="shared" si="11"/>
        <v xml:space="preserve"> </v>
      </c>
      <c r="U142" s="60"/>
      <c r="V142" s="60"/>
      <c r="W142" s="60"/>
      <c r="X142" s="61"/>
      <c r="Y142" s="270"/>
      <c r="Z142" s="261"/>
      <c r="AA142" s="60"/>
      <c r="AB142" s="60"/>
      <c r="AC142" s="60"/>
      <c r="AD142" s="60"/>
      <c r="AE142" s="60"/>
      <c r="AF142" s="60"/>
      <c r="AG142" s="60"/>
    </row>
    <row r="143" spans="1:33" ht="13" x14ac:dyDescent="0.25">
      <c r="A143" s="271">
        <v>141</v>
      </c>
      <c r="B143" s="60"/>
      <c r="C143" s="60"/>
      <c r="D143" s="61"/>
      <c r="E143" s="60"/>
      <c r="F143" s="60"/>
      <c r="G143" s="60"/>
      <c r="H143" s="60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27" t="str">
        <f t="shared" si="11"/>
        <v xml:space="preserve"> </v>
      </c>
      <c r="U143" s="60"/>
      <c r="V143" s="60"/>
      <c r="W143" s="60"/>
      <c r="X143" s="61"/>
      <c r="Y143" s="270"/>
      <c r="Z143" s="261"/>
      <c r="AA143" s="60"/>
      <c r="AB143" s="60"/>
      <c r="AC143" s="60"/>
      <c r="AD143" s="60"/>
      <c r="AE143" s="60"/>
      <c r="AF143" s="60"/>
      <c r="AG143" s="60"/>
    </row>
    <row r="144" spans="1:33" ht="13" x14ac:dyDescent="0.25">
      <c r="A144" s="269">
        <v>142</v>
      </c>
      <c r="B144" s="60"/>
      <c r="C144" s="60"/>
      <c r="D144" s="61"/>
      <c r="E144" s="60"/>
      <c r="F144" s="60"/>
      <c r="G144" s="60"/>
      <c r="H144" s="60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27" t="str">
        <f t="shared" si="11"/>
        <v xml:space="preserve"> </v>
      </c>
      <c r="U144" s="60"/>
      <c r="V144" s="60"/>
      <c r="W144" s="60"/>
      <c r="X144" s="61"/>
      <c r="Y144" s="270"/>
      <c r="Z144" s="261"/>
      <c r="AA144" s="60"/>
      <c r="AB144" s="60"/>
      <c r="AC144" s="60"/>
      <c r="AD144" s="60"/>
      <c r="AE144" s="60"/>
      <c r="AF144" s="60"/>
      <c r="AG144" s="60"/>
    </row>
    <row r="145" spans="1:33" ht="13" x14ac:dyDescent="0.25">
      <c r="A145" s="271">
        <v>143</v>
      </c>
      <c r="B145" s="60"/>
      <c r="C145" s="60"/>
      <c r="D145" s="61"/>
      <c r="E145" s="60"/>
      <c r="F145" s="60"/>
      <c r="G145" s="60"/>
      <c r="H145" s="60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27" t="str">
        <f t="shared" si="11"/>
        <v xml:space="preserve"> </v>
      </c>
      <c r="U145" s="60"/>
      <c r="V145" s="60"/>
      <c r="W145" s="60"/>
      <c r="X145" s="61"/>
      <c r="Y145" s="270"/>
      <c r="Z145" s="261"/>
      <c r="AA145" s="60"/>
      <c r="AB145" s="60"/>
      <c r="AC145" s="60"/>
      <c r="AD145" s="60"/>
      <c r="AE145" s="60"/>
      <c r="AF145" s="60"/>
      <c r="AG145" s="60"/>
    </row>
    <row r="146" spans="1:33" ht="13" x14ac:dyDescent="0.25">
      <c r="A146" s="269">
        <v>144</v>
      </c>
      <c r="B146" s="60"/>
      <c r="C146" s="60"/>
      <c r="D146" s="61"/>
      <c r="E146" s="60"/>
      <c r="F146" s="60"/>
      <c r="G146" s="60"/>
      <c r="H146" s="60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27" t="str">
        <f t="shared" si="11"/>
        <v xml:space="preserve"> </v>
      </c>
      <c r="U146" s="60"/>
      <c r="V146" s="60"/>
      <c r="W146" s="60"/>
      <c r="X146" s="61"/>
      <c r="Y146" s="270"/>
      <c r="Z146" s="261"/>
      <c r="AA146" s="60"/>
      <c r="AB146" s="60"/>
      <c r="AC146" s="60"/>
      <c r="AD146" s="60"/>
      <c r="AE146" s="60"/>
      <c r="AF146" s="60"/>
      <c r="AG146" s="60"/>
    </row>
    <row r="147" spans="1:33" ht="13" x14ac:dyDescent="0.25">
      <c r="A147" s="271">
        <v>145</v>
      </c>
      <c r="B147" s="60"/>
      <c r="C147" s="60"/>
      <c r="D147" s="61"/>
      <c r="E147" s="60"/>
      <c r="F147" s="60"/>
      <c r="G147" s="60"/>
      <c r="H147" s="60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27" t="str">
        <f t="shared" si="11"/>
        <v xml:space="preserve"> </v>
      </c>
      <c r="U147" s="60"/>
      <c r="V147" s="60"/>
      <c r="W147" s="60"/>
      <c r="X147" s="61"/>
      <c r="Y147" s="270"/>
      <c r="Z147" s="261"/>
      <c r="AA147" s="60"/>
      <c r="AB147" s="60"/>
      <c r="AC147" s="60"/>
      <c r="AD147" s="60"/>
      <c r="AE147" s="60"/>
      <c r="AF147" s="60"/>
      <c r="AG147" s="60"/>
    </row>
    <row r="148" spans="1:33" ht="13" x14ac:dyDescent="0.25">
      <c r="A148" s="269">
        <v>146</v>
      </c>
      <c r="B148" s="60"/>
      <c r="C148" s="60"/>
      <c r="D148" s="61"/>
      <c r="E148" s="60"/>
      <c r="F148" s="60"/>
      <c r="G148" s="60"/>
      <c r="H148" s="60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27" t="str">
        <f t="shared" si="11"/>
        <v xml:space="preserve"> </v>
      </c>
      <c r="U148" s="60"/>
      <c r="V148" s="60"/>
      <c r="W148" s="60"/>
      <c r="X148" s="61"/>
      <c r="Y148" s="270"/>
      <c r="Z148" s="261"/>
      <c r="AA148" s="60"/>
      <c r="AB148" s="60"/>
      <c r="AC148" s="60"/>
      <c r="AD148" s="60"/>
      <c r="AE148" s="60"/>
      <c r="AF148" s="60"/>
      <c r="AG148" s="60"/>
    </row>
    <row r="149" spans="1:33" ht="13" x14ac:dyDescent="0.25">
      <c r="A149" s="271">
        <v>147</v>
      </c>
      <c r="B149" s="60"/>
      <c r="C149" s="60"/>
      <c r="D149" s="61"/>
      <c r="E149" s="60"/>
      <c r="F149" s="60"/>
      <c r="G149" s="60"/>
      <c r="H149" s="60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27" t="str">
        <f t="shared" si="11"/>
        <v xml:space="preserve"> </v>
      </c>
      <c r="U149" s="60"/>
      <c r="V149" s="60"/>
      <c r="W149" s="60"/>
      <c r="X149" s="61"/>
      <c r="Y149" s="270"/>
      <c r="Z149" s="261"/>
      <c r="AA149" s="60"/>
      <c r="AB149" s="60"/>
      <c r="AC149" s="60"/>
      <c r="AD149" s="60"/>
      <c r="AE149" s="60"/>
      <c r="AF149" s="60"/>
      <c r="AG149" s="60"/>
    </row>
    <row r="150" spans="1:33" ht="13" x14ac:dyDescent="0.25">
      <c r="A150" s="269">
        <v>148</v>
      </c>
      <c r="B150" s="60"/>
      <c r="C150" s="60"/>
      <c r="D150" s="61"/>
      <c r="E150" s="60"/>
      <c r="F150" s="60"/>
      <c r="G150" s="60"/>
      <c r="H150" s="60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27" t="str">
        <f t="shared" si="11"/>
        <v xml:space="preserve"> </v>
      </c>
      <c r="U150" s="60"/>
      <c r="V150" s="60"/>
      <c r="W150" s="60"/>
      <c r="X150" s="61"/>
      <c r="Y150" s="270"/>
      <c r="Z150" s="261"/>
      <c r="AA150" s="60"/>
      <c r="AB150" s="60"/>
      <c r="AC150" s="60"/>
      <c r="AD150" s="60"/>
      <c r="AE150" s="60"/>
      <c r="AF150" s="60"/>
      <c r="AG150" s="60"/>
    </row>
    <row r="151" spans="1:33" ht="13" x14ac:dyDescent="0.25">
      <c r="A151" s="271">
        <v>149</v>
      </c>
      <c r="B151" s="60"/>
      <c r="C151" s="60"/>
      <c r="D151" s="61"/>
      <c r="E151" s="60"/>
      <c r="F151" s="60"/>
      <c r="G151" s="60"/>
      <c r="H151" s="60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27" t="str">
        <f t="shared" si="11"/>
        <v xml:space="preserve"> </v>
      </c>
      <c r="U151" s="60"/>
      <c r="V151" s="60"/>
      <c r="W151" s="60"/>
      <c r="X151" s="61"/>
      <c r="Y151" s="270"/>
      <c r="Z151" s="261"/>
      <c r="AA151" s="60"/>
      <c r="AB151" s="60"/>
      <c r="AC151" s="60"/>
      <c r="AD151" s="60"/>
      <c r="AE151" s="60"/>
      <c r="AF151" s="60"/>
      <c r="AG151" s="60"/>
    </row>
    <row r="152" spans="1:33" ht="13.5" thickBot="1" x14ac:dyDescent="0.3">
      <c r="A152" s="274">
        <v>150</v>
      </c>
      <c r="B152" s="275"/>
      <c r="C152" s="60"/>
      <c r="D152" s="276"/>
      <c r="E152" s="275"/>
      <c r="F152" s="275"/>
      <c r="G152" s="96"/>
      <c r="H152" s="96"/>
      <c r="I152" s="277"/>
      <c r="J152" s="277"/>
      <c r="K152" s="277"/>
      <c r="L152" s="277"/>
      <c r="M152" s="277"/>
      <c r="N152" s="277"/>
      <c r="O152" s="355"/>
      <c r="P152" s="355"/>
      <c r="Q152" s="355"/>
      <c r="R152" s="355"/>
      <c r="S152" s="355"/>
      <c r="T152" s="27" t="str">
        <f t="shared" si="11"/>
        <v xml:space="preserve"> </v>
      </c>
      <c r="U152" s="275"/>
      <c r="V152" s="275"/>
      <c r="W152" s="275"/>
      <c r="X152" s="276"/>
      <c r="Y152" s="278"/>
      <c r="Z152" s="261"/>
      <c r="AA152" s="60"/>
      <c r="AB152" s="60"/>
      <c r="AC152" s="60"/>
      <c r="AD152" s="60"/>
      <c r="AE152" s="60"/>
      <c r="AF152" s="60"/>
      <c r="AG152" s="60"/>
    </row>
    <row r="153" spans="1:33" x14ac:dyDescent="0.25">
      <c r="F153" s="5"/>
      <c r="G153" s="5"/>
      <c r="H153" s="5"/>
    </row>
    <row r="154" spans="1:33" x14ac:dyDescent="0.25">
      <c r="F154" s="5"/>
      <c r="G154" s="5"/>
      <c r="H154" s="5"/>
    </row>
    <row r="155" spans="1:33" x14ac:dyDescent="0.25">
      <c r="F155" s="5"/>
      <c r="G155" s="5"/>
      <c r="H155" s="5"/>
    </row>
    <row r="156" spans="1:33" x14ac:dyDescent="0.25">
      <c r="F156" s="5"/>
      <c r="G156" s="5"/>
      <c r="H156" s="5"/>
    </row>
    <row r="157" spans="1:33" x14ac:dyDescent="0.25">
      <c r="F157" s="5"/>
      <c r="G157" s="5"/>
      <c r="H157" s="5"/>
    </row>
    <row r="158" spans="1:33" x14ac:dyDescent="0.25">
      <c r="F158" s="5"/>
      <c r="G158" s="5"/>
      <c r="H158" s="5"/>
    </row>
    <row r="159" spans="1:33" x14ac:dyDescent="0.25">
      <c r="F159" s="5"/>
      <c r="G159" s="5"/>
      <c r="H159" s="5"/>
    </row>
    <row r="160" spans="1:33" x14ac:dyDescent="0.25">
      <c r="F160" s="5"/>
      <c r="G160" s="5"/>
      <c r="H160" s="5"/>
    </row>
    <row r="161" spans="6:8" x14ac:dyDescent="0.25">
      <c r="F161" s="5"/>
      <c r="G161" s="5"/>
      <c r="H161" s="5"/>
    </row>
    <row r="162" spans="6:8" x14ac:dyDescent="0.25">
      <c r="F162" s="5"/>
      <c r="G162" s="5"/>
      <c r="H162" s="5"/>
    </row>
    <row r="163" spans="6:8" x14ac:dyDescent="0.25">
      <c r="F163" s="5"/>
      <c r="G163" s="5"/>
      <c r="H163" s="5"/>
    </row>
    <row r="164" spans="6:8" x14ac:dyDescent="0.25">
      <c r="F164" s="5"/>
      <c r="G164" s="5"/>
      <c r="H164" s="5"/>
    </row>
    <row r="165" spans="6:8" x14ac:dyDescent="0.25">
      <c r="F165" s="5"/>
      <c r="G165" s="5"/>
      <c r="H165" s="5"/>
    </row>
    <row r="166" spans="6:8" x14ac:dyDescent="0.25">
      <c r="F166" s="5"/>
      <c r="G166" s="5"/>
      <c r="H166" s="5"/>
    </row>
    <row r="167" spans="6:8" x14ac:dyDescent="0.25">
      <c r="F167" s="5"/>
      <c r="G167" s="5"/>
      <c r="H167" s="5"/>
    </row>
    <row r="168" spans="6:8" x14ac:dyDescent="0.25">
      <c r="F168" s="5"/>
      <c r="G168" s="5"/>
      <c r="H168" s="5"/>
    </row>
    <row r="169" spans="6:8" x14ac:dyDescent="0.25">
      <c r="F169" s="5"/>
      <c r="G169" s="5"/>
      <c r="H169" s="5"/>
    </row>
    <row r="170" spans="6:8" x14ac:dyDescent="0.25">
      <c r="F170" s="5"/>
      <c r="G170" s="5"/>
      <c r="H170" s="5"/>
    </row>
    <row r="171" spans="6:8" x14ac:dyDescent="0.25">
      <c r="F171" s="5"/>
      <c r="G171" s="5"/>
      <c r="H171" s="5"/>
    </row>
    <row r="172" spans="6:8" x14ac:dyDescent="0.25">
      <c r="F172" s="5"/>
      <c r="G172" s="5"/>
      <c r="H172" s="5"/>
    </row>
    <row r="173" spans="6:8" x14ac:dyDescent="0.25">
      <c r="F173" s="5"/>
      <c r="G173" s="5"/>
      <c r="H173" s="5"/>
    </row>
    <row r="174" spans="6:8" x14ac:dyDescent="0.25">
      <c r="F174" s="5"/>
      <c r="G174" s="5"/>
      <c r="H174" s="5"/>
    </row>
    <row r="175" spans="6:8" x14ac:dyDescent="0.25">
      <c r="F175" s="5"/>
      <c r="G175" s="5"/>
      <c r="H175" s="5"/>
    </row>
    <row r="176" spans="6:8" x14ac:dyDescent="0.25">
      <c r="F176" s="5"/>
      <c r="G176" s="5"/>
      <c r="H176" s="5"/>
    </row>
    <row r="177" spans="6:8" x14ac:dyDescent="0.25">
      <c r="F177" s="5"/>
      <c r="G177" s="5"/>
      <c r="H177" s="5"/>
    </row>
    <row r="178" spans="6:8" x14ac:dyDescent="0.25">
      <c r="F178" s="5"/>
      <c r="G178" s="5"/>
      <c r="H178" s="5"/>
    </row>
    <row r="179" spans="6:8" x14ac:dyDescent="0.25">
      <c r="F179" s="5"/>
      <c r="G179" s="5"/>
      <c r="H179" s="5"/>
    </row>
    <row r="180" spans="6:8" x14ac:dyDescent="0.25">
      <c r="F180" s="5"/>
      <c r="G180" s="5"/>
      <c r="H180" s="5"/>
    </row>
    <row r="181" spans="6:8" x14ac:dyDescent="0.25">
      <c r="F181" s="5"/>
      <c r="G181" s="5"/>
      <c r="H181" s="5"/>
    </row>
    <row r="182" spans="6:8" x14ac:dyDescent="0.25">
      <c r="F182" s="5"/>
      <c r="G182" s="5"/>
      <c r="H182" s="5"/>
    </row>
    <row r="183" spans="6:8" x14ac:dyDescent="0.25">
      <c r="F183" s="5"/>
      <c r="G183" s="5"/>
      <c r="H183" s="5"/>
    </row>
    <row r="184" spans="6:8" x14ac:dyDescent="0.25">
      <c r="F184" s="5"/>
      <c r="G184" s="5"/>
      <c r="H184" s="5"/>
    </row>
    <row r="185" spans="6:8" x14ac:dyDescent="0.25">
      <c r="F185" s="5"/>
      <c r="G185" s="5"/>
      <c r="H185" s="5"/>
    </row>
    <row r="186" spans="6:8" x14ac:dyDescent="0.25">
      <c r="F186" s="5"/>
      <c r="G186" s="5"/>
      <c r="H186" s="5"/>
    </row>
    <row r="187" spans="6:8" x14ac:dyDescent="0.25">
      <c r="F187" s="5"/>
      <c r="G187" s="5"/>
      <c r="H187" s="5"/>
    </row>
    <row r="188" spans="6:8" x14ac:dyDescent="0.25">
      <c r="F188" s="5"/>
      <c r="G188" s="5"/>
      <c r="H188" s="5"/>
    </row>
    <row r="189" spans="6:8" x14ac:dyDescent="0.25">
      <c r="F189" s="5"/>
      <c r="G189" s="5"/>
      <c r="H189" s="5"/>
    </row>
    <row r="190" spans="6:8" x14ac:dyDescent="0.25">
      <c r="F190" s="5"/>
      <c r="G190" s="5"/>
      <c r="H190" s="5"/>
    </row>
    <row r="191" spans="6:8" x14ac:dyDescent="0.25">
      <c r="F191" s="5"/>
      <c r="G191" s="5"/>
      <c r="H191" s="5"/>
    </row>
    <row r="192" spans="6:8" x14ac:dyDescent="0.25">
      <c r="F192" s="5"/>
      <c r="G192" s="5"/>
      <c r="H192" s="5"/>
    </row>
    <row r="193" spans="6:8" x14ac:dyDescent="0.25">
      <c r="F193" s="5"/>
      <c r="G193" s="5"/>
      <c r="H193" s="5"/>
    </row>
    <row r="194" spans="6:8" x14ac:dyDescent="0.25">
      <c r="F194" s="5"/>
      <c r="G194" s="5"/>
      <c r="H194" s="5"/>
    </row>
    <row r="195" spans="6:8" x14ac:dyDescent="0.25">
      <c r="F195" s="5"/>
      <c r="G195" s="5"/>
      <c r="H195" s="5"/>
    </row>
    <row r="196" spans="6:8" x14ac:dyDescent="0.25">
      <c r="F196" s="5"/>
      <c r="G196" s="5"/>
      <c r="H196" s="5"/>
    </row>
    <row r="197" spans="6:8" x14ac:dyDescent="0.25">
      <c r="F197" s="5"/>
      <c r="G197" s="5"/>
      <c r="H197" s="5"/>
    </row>
    <row r="198" spans="6:8" x14ac:dyDescent="0.25">
      <c r="F198" s="5"/>
      <c r="G198" s="5"/>
      <c r="H198" s="5"/>
    </row>
    <row r="199" spans="6:8" x14ac:dyDescent="0.25">
      <c r="F199" s="5"/>
      <c r="G199" s="5"/>
      <c r="H199" s="5"/>
    </row>
    <row r="200" spans="6:8" x14ac:dyDescent="0.25">
      <c r="F200" s="5"/>
      <c r="G200" s="5"/>
      <c r="H200" s="5"/>
    </row>
    <row r="201" spans="6:8" x14ac:dyDescent="0.25">
      <c r="F201" s="5"/>
      <c r="G201" s="5"/>
      <c r="H201" s="5"/>
    </row>
    <row r="202" spans="6:8" x14ac:dyDescent="0.25">
      <c r="F202" s="5"/>
      <c r="G202" s="5"/>
      <c r="H202" s="5"/>
    </row>
    <row r="203" spans="6:8" x14ac:dyDescent="0.25">
      <c r="F203" s="5"/>
      <c r="G203" s="5"/>
      <c r="H203" s="5"/>
    </row>
    <row r="204" spans="6:8" x14ac:dyDescent="0.25">
      <c r="F204" s="5"/>
      <c r="G204" s="5"/>
      <c r="H204" s="5"/>
    </row>
    <row r="205" spans="6:8" x14ac:dyDescent="0.25">
      <c r="F205" s="5"/>
      <c r="G205" s="5"/>
      <c r="H205" s="5"/>
    </row>
    <row r="206" spans="6:8" x14ac:dyDescent="0.25">
      <c r="F206" s="5"/>
      <c r="G206" s="5"/>
      <c r="H206" s="5"/>
    </row>
    <row r="207" spans="6:8" x14ac:dyDescent="0.25">
      <c r="F207" s="5"/>
      <c r="G207" s="5"/>
      <c r="H207" s="5"/>
    </row>
    <row r="208" spans="6:8" x14ac:dyDescent="0.25">
      <c r="F208" s="5"/>
      <c r="G208" s="5"/>
      <c r="H208" s="5"/>
    </row>
    <row r="209" spans="6:8" x14ac:dyDescent="0.25">
      <c r="F209" s="5"/>
      <c r="G209" s="5"/>
      <c r="H209" s="5"/>
    </row>
    <row r="210" spans="6:8" x14ac:dyDescent="0.25">
      <c r="F210" s="5"/>
      <c r="G210" s="5"/>
      <c r="H210" s="5"/>
    </row>
    <row r="211" spans="6:8" x14ac:dyDescent="0.25">
      <c r="F211" s="5"/>
      <c r="G211" s="5"/>
      <c r="H211" s="5"/>
    </row>
    <row r="212" spans="6:8" x14ac:dyDescent="0.25">
      <c r="F212" s="5"/>
      <c r="G212" s="5"/>
      <c r="H212" s="5"/>
    </row>
    <row r="213" spans="6:8" x14ac:dyDescent="0.25">
      <c r="F213" s="5"/>
      <c r="G213" s="5"/>
      <c r="H213" s="5"/>
    </row>
    <row r="214" spans="6:8" x14ac:dyDescent="0.25">
      <c r="F214" s="5"/>
      <c r="G214" s="5"/>
      <c r="H214" s="5"/>
    </row>
    <row r="215" spans="6:8" x14ac:dyDescent="0.25">
      <c r="F215" s="5"/>
      <c r="G215" s="5"/>
      <c r="H215" s="5"/>
    </row>
    <row r="216" spans="6:8" x14ac:dyDescent="0.25">
      <c r="F216" s="5"/>
      <c r="G216" s="5"/>
      <c r="H216" s="5"/>
    </row>
    <row r="217" spans="6:8" x14ac:dyDescent="0.25">
      <c r="F217" s="5"/>
      <c r="G217" s="5"/>
      <c r="H217" s="5"/>
    </row>
    <row r="218" spans="6:8" x14ac:dyDescent="0.25">
      <c r="F218" s="5"/>
      <c r="G218" s="5"/>
      <c r="H218" s="5"/>
    </row>
    <row r="219" spans="6:8" x14ac:dyDescent="0.25">
      <c r="F219" s="5"/>
      <c r="G219" s="5"/>
      <c r="H219" s="5"/>
    </row>
    <row r="220" spans="6:8" x14ac:dyDescent="0.25">
      <c r="F220" s="5"/>
      <c r="G220" s="5"/>
      <c r="H220" s="5"/>
    </row>
    <row r="221" spans="6:8" x14ac:dyDescent="0.25">
      <c r="F221" s="5"/>
      <c r="G221" s="5"/>
      <c r="H221" s="5"/>
    </row>
    <row r="222" spans="6:8" x14ac:dyDescent="0.25">
      <c r="F222" s="5"/>
      <c r="G222" s="5"/>
      <c r="H222" s="5"/>
    </row>
    <row r="223" spans="6:8" x14ac:dyDescent="0.25">
      <c r="F223" s="5"/>
      <c r="G223" s="5"/>
      <c r="H223" s="5"/>
    </row>
    <row r="224" spans="6:8" x14ac:dyDescent="0.25">
      <c r="F224" s="5"/>
      <c r="G224" s="5"/>
      <c r="H224" s="5"/>
    </row>
    <row r="225" spans="6:8" x14ac:dyDescent="0.25">
      <c r="F225" s="5"/>
      <c r="G225" s="5"/>
      <c r="H225" s="5"/>
    </row>
    <row r="226" spans="6:8" x14ac:dyDescent="0.25">
      <c r="F226" s="5"/>
      <c r="G226" s="5"/>
      <c r="H226" s="5"/>
    </row>
    <row r="227" spans="6:8" x14ac:dyDescent="0.25">
      <c r="F227" s="5"/>
      <c r="G227" s="5"/>
      <c r="H227" s="5"/>
    </row>
    <row r="228" spans="6:8" x14ac:dyDescent="0.25">
      <c r="F228" s="5"/>
      <c r="G228" s="5"/>
      <c r="H228" s="5"/>
    </row>
    <row r="229" spans="6:8" x14ac:dyDescent="0.25">
      <c r="F229" s="5"/>
      <c r="G229" s="5"/>
      <c r="H229" s="5"/>
    </row>
    <row r="230" spans="6:8" x14ac:dyDescent="0.25">
      <c r="F230" s="5"/>
      <c r="G230" s="5"/>
      <c r="H230" s="5"/>
    </row>
    <row r="231" spans="6:8" x14ac:dyDescent="0.25">
      <c r="F231" s="5"/>
      <c r="G231" s="5"/>
      <c r="H231" s="5"/>
    </row>
    <row r="232" spans="6:8" x14ac:dyDescent="0.25">
      <c r="F232" s="5"/>
      <c r="G232" s="5"/>
      <c r="H232" s="5"/>
    </row>
    <row r="233" spans="6:8" x14ac:dyDescent="0.25">
      <c r="F233" s="5"/>
      <c r="G233" s="5"/>
      <c r="H233" s="5"/>
    </row>
    <row r="234" spans="6:8" x14ac:dyDescent="0.25">
      <c r="F234" s="5"/>
      <c r="G234" s="5"/>
      <c r="H234" s="5"/>
    </row>
    <row r="235" spans="6:8" x14ac:dyDescent="0.25">
      <c r="F235" s="5"/>
      <c r="G235" s="5"/>
      <c r="H235" s="5"/>
    </row>
    <row r="236" spans="6:8" x14ac:dyDescent="0.25">
      <c r="F236" s="5"/>
      <c r="G236" s="5"/>
      <c r="H236" s="5"/>
    </row>
    <row r="237" spans="6:8" x14ac:dyDescent="0.25">
      <c r="F237" s="5"/>
      <c r="G237" s="5"/>
      <c r="H237" s="5"/>
    </row>
    <row r="238" spans="6:8" x14ac:dyDescent="0.25">
      <c r="F238" s="5"/>
      <c r="G238" s="5"/>
      <c r="H238" s="5"/>
    </row>
    <row r="239" spans="6:8" x14ac:dyDescent="0.25">
      <c r="F239" s="5"/>
      <c r="G239" s="5"/>
      <c r="H239" s="5"/>
    </row>
    <row r="240" spans="6:8" x14ac:dyDescent="0.25">
      <c r="F240" s="5"/>
      <c r="G240" s="5"/>
      <c r="H240" s="5"/>
    </row>
    <row r="241" spans="6:8" x14ac:dyDescent="0.25">
      <c r="F241" s="5"/>
      <c r="G241" s="5"/>
      <c r="H241" s="5"/>
    </row>
    <row r="242" spans="6:8" x14ac:dyDescent="0.25">
      <c r="F242" s="5"/>
      <c r="G242" s="5"/>
      <c r="H242" s="5"/>
    </row>
    <row r="243" spans="6:8" x14ac:dyDescent="0.25">
      <c r="F243" s="5"/>
      <c r="G243" s="5"/>
      <c r="H243" s="5"/>
    </row>
    <row r="244" spans="6:8" x14ac:dyDescent="0.25">
      <c r="F244" s="5"/>
      <c r="G244" s="5"/>
      <c r="H244" s="5"/>
    </row>
    <row r="245" spans="6:8" x14ac:dyDescent="0.25">
      <c r="F245" s="5"/>
      <c r="G245" s="5"/>
      <c r="H245" s="5"/>
    </row>
    <row r="246" spans="6:8" x14ac:dyDescent="0.25">
      <c r="F246" s="5"/>
      <c r="G246" s="5"/>
      <c r="H246" s="5"/>
    </row>
    <row r="247" spans="6:8" x14ac:dyDescent="0.25">
      <c r="F247" s="5"/>
      <c r="G247" s="5"/>
      <c r="H247" s="5"/>
    </row>
    <row r="248" spans="6:8" x14ac:dyDescent="0.25">
      <c r="F248" s="5"/>
      <c r="G248" s="5"/>
      <c r="H248" s="5"/>
    </row>
    <row r="249" spans="6:8" x14ac:dyDescent="0.25">
      <c r="F249" s="5"/>
      <c r="G249" s="5"/>
      <c r="H249" s="5"/>
    </row>
    <row r="250" spans="6:8" x14ac:dyDescent="0.25">
      <c r="F250" s="5"/>
      <c r="G250" s="5"/>
      <c r="H250" s="5"/>
    </row>
    <row r="251" spans="6:8" x14ac:dyDescent="0.25">
      <c r="F251" s="5"/>
      <c r="G251" s="5"/>
      <c r="H251" s="5"/>
    </row>
    <row r="252" spans="6:8" x14ac:dyDescent="0.25">
      <c r="F252" s="5"/>
      <c r="G252" s="5"/>
      <c r="H252" s="5"/>
    </row>
    <row r="253" spans="6:8" x14ac:dyDescent="0.25">
      <c r="F253" s="5"/>
      <c r="G253" s="5"/>
      <c r="H253" s="5"/>
    </row>
    <row r="254" spans="6:8" x14ac:dyDescent="0.25">
      <c r="F254" s="5"/>
      <c r="G254" s="5"/>
      <c r="H254" s="5"/>
    </row>
    <row r="255" spans="6:8" x14ac:dyDescent="0.25">
      <c r="F255" s="5"/>
      <c r="G255" s="5"/>
      <c r="H255" s="5"/>
    </row>
    <row r="256" spans="6:8" x14ac:dyDescent="0.25">
      <c r="F256" s="5"/>
      <c r="G256" s="5"/>
      <c r="H256" s="5"/>
    </row>
    <row r="257" spans="6:8" x14ac:dyDescent="0.25">
      <c r="F257" s="5"/>
      <c r="G257" s="5"/>
      <c r="H257" s="5"/>
    </row>
    <row r="258" spans="6:8" x14ac:dyDescent="0.25">
      <c r="F258" s="5"/>
      <c r="G258" s="5"/>
      <c r="H258" s="5"/>
    </row>
    <row r="259" spans="6:8" x14ac:dyDescent="0.25">
      <c r="F259" s="5"/>
      <c r="G259" s="5"/>
      <c r="H259" s="5"/>
    </row>
    <row r="260" spans="6:8" x14ac:dyDescent="0.25">
      <c r="F260" s="5"/>
      <c r="G260" s="5"/>
      <c r="H260" s="5"/>
    </row>
    <row r="261" spans="6:8" x14ac:dyDescent="0.25">
      <c r="F261" s="5"/>
      <c r="G261" s="5"/>
      <c r="H261" s="5"/>
    </row>
    <row r="262" spans="6:8" x14ac:dyDescent="0.25">
      <c r="F262" s="5"/>
      <c r="G262" s="5"/>
      <c r="H262" s="5"/>
    </row>
    <row r="263" spans="6:8" x14ac:dyDescent="0.25">
      <c r="F263" s="5"/>
      <c r="G263" s="5"/>
      <c r="H263" s="5"/>
    </row>
    <row r="264" spans="6:8" x14ac:dyDescent="0.25">
      <c r="F264" s="5"/>
      <c r="G264" s="5"/>
      <c r="H264" s="5"/>
    </row>
    <row r="265" spans="6:8" x14ac:dyDescent="0.25">
      <c r="F265" s="5"/>
      <c r="G265" s="5"/>
      <c r="H265" s="5"/>
    </row>
    <row r="266" spans="6:8" x14ac:dyDescent="0.25">
      <c r="F266" s="5"/>
      <c r="G266" s="5"/>
      <c r="H266" s="5"/>
    </row>
    <row r="267" spans="6:8" x14ac:dyDescent="0.25">
      <c r="F267" s="5"/>
      <c r="G267" s="5"/>
      <c r="H267" s="5"/>
    </row>
    <row r="268" spans="6:8" x14ac:dyDescent="0.25">
      <c r="F268" s="5"/>
      <c r="G268" s="5"/>
      <c r="H268" s="5"/>
    </row>
    <row r="269" spans="6:8" x14ac:dyDescent="0.25">
      <c r="F269" s="5"/>
      <c r="G269" s="5"/>
      <c r="H269" s="5"/>
    </row>
    <row r="270" spans="6:8" x14ac:dyDescent="0.25">
      <c r="F270" s="5"/>
      <c r="G270" s="5"/>
      <c r="H270" s="5"/>
    </row>
    <row r="271" spans="6:8" x14ac:dyDescent="0.25">
      <c r="F271" s="5"/>
      <c r="G271" s="5"/>
      <c r="H271" s="5"/>
    </row>
    <row r="272" spans="6:8" x14ac:dyDescent="0.25">
      <c r="F272" s="5"/>
      <c r="G272" s="5"/>
      <c r="H272" s="5"/>
    </row>
    <row r="273" spans="6:8" x14ac:dyDescent="0.25">
      <c r="F273" s="5"/>
      <c r="G273" s="5"/>
      <c r="H273" s="5"/>
    </row>
    <row r="274" spans="6:8" x14ac:dyDescent="0.25">
      <c r="F274" s="5"/>
      <c r="G274" s="5"/>
      <c r="H274" s="5"/>
    </row>
    <row r="275" spans="6:8" x14ac:dyDescent="0.25">
      <c r="F275" s="5"/>
      <c r="G275" s="5"/>
      <c r="H275" s="5"/>
    </row>
    <row r="276" spans="6:8" x14ac:dyDescent="0.25">
      <c r="F276" s="5"/>
      <c r="G276" s="5"/>
      <c r="H276" s="5"/>
    </row>
    <row r="277" spans="6:8" x14ac:dyDescent="0.25">
      <c r="F277" s="5"/>
      <c r="G277" s="5"/>
      <c r="H277" s="5"/>
    </row>
    <row r="278" spans="6:8" x14ac:dyDescent="0.25">
      <c r="F278" s="5"/>
      <c r="G278" s="5"/>
      <c r="H278" s="5"/>
    </row>
    <row r="279" spans="6:8" x14ac:dyDescent="0.25">
      <c r="F279" s="5"/>
      <c r="G279" s="5"/>
      <c r="H279" s="5"/>
    </row>
    <row r="280" spans="6:8" x14ac:dyDescent="0.25">
      <c r="F280" s="5"/>
      <c r="G280" s="5"/>
      <c r="H280" s="5"/>
    </row>
    <row r="281" spans="6:8" x14ac:dyDescent="0.25">
      <c r="F281" s="5"/>
      <c r="G281" s="5"/>
      <c r="H281" s="5"/>
    </row>
    <row r="282" spans="6:8" x14ac:dyDescent="0.25">
      <c r="F282" s="5"/>
      <c r="G282" s="5"/>
      <c r="H282" s="5"/>
    </row>
    <row r="283" spans="6:8" x14ac:dyDescent="0.25">
      <c r="F283" s="5"/>
      <c r="G283" s="5"/>
      <c r="H283" s="5"/>
    </row>
    <row r="284" spans="6:8" x14ac:dyDescent="0.25">
      <c r="F284" s="5"/>
      <c r="G284" s="5"/>
      <c r="H284" s="5"/>
    </row>
    <row r="285" spans="6:8" x14ac:dyDescent="0.25">
      <c r="F285" s="5"/>
      <c r="G285" s="5"/>
      <c r="H285" s="5"/>
    </row>
    <row r="286" spans="6:8" x14ac:dyDescent="0.25">
      <c r="F286" s="5"/>
      <c r="G286" s="5"/>
      <c r="H286" s="5"/>
    </row>
    <row r="287" spans="6:8" x14ac:dyDescent="0.25">
      <c r="F287" s="5"/>
      <c r="G287" s="5"/>
      <c r="H287" s="5"/>
    </row>
    <row r="288" spans="6:8" x14ac:dyDescent="0.25">
      <c r="F288" s="5"/>
      <c r="G288" s="5"/>
      <c r="H288" s="5"/>
    </row>
    <row r="289" spans="6:8" x14ac:dyDescent="0.25">
      <c r="F289" s="5"/>
      <c r="G289" s="5"/>
      <c r="H289" s="5"/>
    </row>
    <row r="290" spans="6:8" x14ac:dyDescent="0.25">
      <c r="F290" s="5"/>
      <c r="G290" s="5"/>
      <c r="H290" s="5"/>
    </row>
    <row r="291" spans="6:8" x14ac:dyDescent="0.25">
      <c r="F291" s="5"/>
      <c r="G291" s="5"/>
      <c r="H291" s="5"/>
    </row>
    <row r="292" spans="6:8" x14ac:dyDescent="0.25">
      <c r="F292" s="5"/>
      <c r="G292" s="5"/>
      <c r="H292" s="5"/>
    </row>
    <row r="293" spans="6:8" x14ac:dyDescent="0.25">
      <c r="F293" s="5"/>
      <c r="G293" s="5"/>
      <c r="H293" s="5"/>
    </row>
    <row r="294" spans="6:8" x14ac:dyDescent="0.25">
      <c r="F294" s="5"/>
      <c r="G294" s="5"/>
      <c r="H294" s="5"/>
    </row>
    <row r="295" spans="6:8" x14ac:dyDescent="0.25">
      <c r="F295" s="5"/>
      <c r="G295" s="5"/>
      <c r="H295" s="5"/>
    </row>
    <row r="296" spans="6:8" x14ac:dyDescent="0.25">
      <c r="F296" s="5"/>
      <c r="G296" s="5"/>
      <c r="H296" s="5"/>
    </row>
    <row r="297" spans="6:8" x14ac:dyDescent="0.25">
      <c r="F297" s="5"/>
      <c r="G297" s="5"/>
      <c r="H297" s="5"/>
    </row>
    <row r="298" spans="6:8" x14ac:dyDescent="0.25">
      <c r="F298" s="5"/>
      <c r="G298" s="5"/>
      <c r="H298" s="5"/>
    </row>
    <row r="299" spans="6:8" x14ac:dyDescent="0.25">
      <c r="F299" s="5"/>
      <c r="G299" s="5"/>
      <c r="H299" s="5"/>
    </row>
    <row r="300" spans="6:8" x14ac:dyDescent="0.25">
      <c r="F300" s="5"/>
      <c r="G300" s="5"/>
      <c r="H300" s="5"/>
    </row>
    <row r="301" spans="6:8" x14ac:dyDescent="0.25">
      <c r="F301" s="5"/>
      <c r="G301" s="5"/>
      <c r="H301" s="5"/>
    </row>
    <row r="302" spans="6:8" x14ac:dyDescent="0.25">
      <c r="F302" s="5"/>
      <c r="G302" s="5"/>
      <c r="H302" s="5"/>
    </row>
    <row r="303" spans="6:8" x14ac:dyDescent="0.25">
      <c r="F303" s="5"/>
      <c r="G303" s="5"/>
      <c r="H303" s="5"/>
    </row>
    <row r="304" spans="6:8" x14ac:dyDescent="0.25">
      <c r="F304" s="5"/>
      <c r="G304" s="5"/>
      <c r="H304" s="5"/>
    </row>
    <row r="305" spans="6:8" x14ac:dyDescent="0.25">
      <c r="F305" s="5"/>
      <c r="G305" s="5"/>
      <c r="H305" s="5"/>
    </row>
    <row r="306" spans="6:8" x14ac:dyDescent="0.25">
      <c r="F306" s="5"/>
      <c r="G306" s="5"/>
      <c r="H306" s="5"/>
    </row>
    <row r="307" spans="6:8" x14ac:dyDescent="0.25">
      <c r="F307" s="5"/>
      <c r="G307" s="5"/>
      <c r="H307" s="5"/>
    </row>
    <row r="308" spans="6:8" x14ac:dyDescent="0.25">
      <c r="F308" s="5"/>
      <c r="G308" s="5"/>
      <c r="H308" s="5"/>
    </row>
    <row r="309" spans="6:8" x14ac:dyDescent="0.25">
      <c r="F309" s="5"/>
      <c r="G309" s="5"/>
      <c r="H309" s="5"/>
    </row>
    <row r="310" spans="6:8" x14ac:dyDescent="0.25">
      <c r="F310" s="5"/>
      <c r="G310" s="5"/>
      <c r="H310" s="5"/>
    </row>
    <row r="311" spans="6:8" x14ac:dyDescent="0.25">
      <c r="F311" s="5"/>
      <c r="G311" s="5"/>
      <c r="H311" s="5"/>
    </row>
    <row r="312" spans="6:8" x14ac:dyDescent="0.25">
      <c r="F312" s="5"/>
      <c r="G312" s="5"/>
      <c r="H312" s="5"/>
    </row>
    <row r="313" spans="6:8" x14ac:dyDescent="0.25">
      <c r="F313" s="5"/>
      <c r="G313" s="5"/>
      <c r="H313" s="5"/>
    </row>
    <row r="314" spans="6:8" x14ac:dyDescent="0.25">
      <c r="F314" s="5"/>
      <c r="G314" s="5"/>
      <c r="H314" s="5"/>
    </row>
    <row r="315" spans="6:8" x14ac:dyDescent="0.25">
      <c r="F315" s="5"/>
      <c r="G315" s="5"/>
      <c r="H315" s="5"/>
    </row>
    <row r="316" spans="6:8" x14ac:dyDescent="0.25">
      <c r="F316" s="5"/>
      <c r="G316" s="5"/>
      <c r="H316" s="5"/>
    </row>
    <row r="317" spans="6:8" x14ac:dyDescent="0.25">
      <c r="F317" s="5"/>
      <c r="G317" s="5"/>
      <c r="H317" s="5"/>
    </row>
    <row r="318" spans="6:8" x14ac:dyDescent="0.25">
      <c r="F318" s="5"/>
      <c r="G318" s="5"/>
      <c r="H318" s="5"/>
    </row>
    <row r="319" spans="6:8" x14ac:dyDescent="0.25">
      <c r="F319" s="5"/>
      <c r="G319" s="5"/>
      <c r="H319" s="5"/>
    </row>
    <row r="320" spans="6:8" x14ac:dyDescent="0.25">
      <c r="F320" s="5"/>
      <c r="G320" s="5"/>
      <c r="H320" s="5"/>
    </row>
    <row r="321" spans="6:8" x14ac:dyDescent="0.25">
      <c r="F321" s="5"/>
      <c r="G321" s="5"/>
      <c r="H321" s="5"/>
    </row>
    <row r="322" spans="6:8" x14ac:dyDescent="0.25">
      <c r="F322" s="5"/>
      <c r="G322" s="5"/>
      <c r="H322" s="5"/>
    </row>
    <row r="323" spans="6:8" x14ac:dyDescent="0.25">
      <c r="F323" s="5"/>
      <c r="G323" s="5"/>
      <c r="H323" s="5"/>
    </row>
    <row r="324" spans="6:8" x14ac:dyDescent="0.25">
      <c r="F324" s="5"/>
      <c r="G324" s="5"/>
      <c r="H324" s="5"/>
    </row>
    <row r="325" spans="6:8" x14ac:dyDescent="0.25">
      <c r="F325" s="5"/>
      <c r="G325" s="5"/>
      <c r="H325" s="5"/>
    </row>
    <row r="326" spans="6:8" x14ac:dyDescent="0.25">
      <c r="F326" s="5"/>
      <c r="G326" s="5"/>
      <c r="H326" s="5"/>
    </row>
    <row r="327" spans="6:8" x14ac:dyDescent="0.25">
      <c r="F327" s="5"/>
      <c r="G327" s="5"/>
      <c r="H327" s="5"/>
    </row>
    <row r="328" spans="6:8" x14ac:dyDescent="0.25">
      <c r="F328" s="5"/>
      <c r="G328" s="5"/>
      <c r="H328" s="5"/>
    </row>
    <row r="329" spans="6:8" x14ac:dyDescent="0.25">
      <c r="F329" s="5"/>
      <c r="G329" s="5"/>
      <c r="H329" s="5"/>
    </row>
    <row r="330" spans="6:8" x14ac:dyDescent="0.25">
      <c r="F330" s="5"/>
      <c r="G330" s="5"/>
      <c r="H330" s="5"/>
    </row>
    <row r="331" spans="6:8" x14ac:dyDescent="0.25">
      <c r="F331" s="5"/>
      <c r="G331" s="5"/>
      <c r="H331" s="5"/>
    </row>
    <row r="332" spans="6:8" x14ac:dyDescent="0.25">
      <c r="F332" s="5"/>
      <c r="G332" s="5"/>
      <c r="H332" s="5"/>
    </row>
    <row r="333" spans="6:8" x14ac:dyDescent="0.25">
      <c r="F333" s="5"/>
      <c r="G333" s="5"/>
      <c r="H333" s="5"/>
    </row>
    <row r="334" spans="6:8" x14ac:dyDescent="0.25">
      <c r="F334" s="5"/>
      <c r="G334" s="5"/>
      <c r="H334" s="5"/>
    </row>
    <row r="335" spans="6:8" x14ac:dyDescent="0.25">
      <c r="F335" s="5"/>
      <c r="G335" s="5"/>
      <c r="H335" s="5"/>
    </row>
    <row r="336" spans="6:8" x14ac:dyDescent="0.25">
      <c r="F336" s="5"/>
      <c r="G336" s="5"/>
      <c r="H336" s="5"/>
    </row>
    <row r="337" spans="6:8" x14ac:dyDescent="0.25">
      <c r="F337" s="5"/>
      <c r="G337" s="5"/>
      <c r="H337" s="5"/>
    </row>
    <row r="338" spans="6:8" x14ac:dyDescent="0.25">
      <c r="F338" s="5"/>
      <c r="G338" s="5"/>
      <c r="H338" s="5"/>
    </row>
    <row r="339" spans="6:8" x14ac:dyDescent="0.25">
      <c r="F339" s="5"/>
      <c r="G339" s="5"/>
      <c r="H339" s="5"/>
    </row>
    <row r="340" spans="6:8" x14ac:dyDescent="0.25">
      <c r="F340" s="5"/>
      <c r="G340" s="5"/>
      <c r="H340" s="5"/>
    </row>
    <row r="341" spans="6:8" x14ac:dyDescent="0.25">
      <c r="F341" s="5"/>
      <c r="G341" s="5"/>
      <c r="H341" s="5"/>
    </row>
    <row r="342" spans="6:8" x14ac:dyDescent="0.25">
      <c r="F342" s="5"/>
      <c r="G342" s="5"/>
      <c r="H342" s="5"/>
    </row>
    <row r="343" spans="6:8" x14ac:dyDescent="0.25">
      <c r="F343" s="5"/>
      <c r="G343" s="5"/>
      <c r="H343" s="5"/>
    </row>
    <row r="344" spans="6:8" x14ac:dyDescent="0.25">
      <c r="F344" s="5"/>
      <c r="G344" s="5"/>
      <c r="H344" s="5"/>
    </row>
    <row r="345" spans="6:8" x14ac:dyDescent="0.25">
      <c r="F345" s="5"/>
      <c r="G345" s="5"/>
      <c r="H345" s="5"/>
    </row>
    <row r="346" spans="6:8" x14ac:dyDescent="0.25">
      <c r="F346" s="5"/>
      <c r="G346" s="5"/>
      <c r="H346" s="5"/>
    </row>
    <row r="347" spans="6:8" x14ac:dyDescent="0.25">
      <c r="F347" s="5"/>
      <c r="G347" s="5"/>
      <c r="H347" s="5"/>
    </row>
    <row r="348" spans="6:8" x14ac:dyDescent="0.25">
      <c r="F348" s="5"/>
      <c r="G348" s="5"/>
      <c r="H348" s="5"/>
    </row>
    <row r="349" spans="6:8" x14ac:dyDescent="0.25">
      <c r="F349" s="5"/>
      <c r="G349" s="5"/>
      <c r="H349" s="5"/>
    </row>
    <row r="350" spans="6:8" x14ac:dyDescent="0.25">
      <c r="F350" s="5"/>
      <c r="G350" s="5"/>
      <c r="H350" s="5"/>
    </row>
    <row r="351" spans="6:8" x14ac:dyDescent="0.25">
      <c r="F351" s="5"/>
      <c r="G351" s="5"/>
      <c r="H351" s="5"/>
    </row>
    <row r="352" spans="6:8" x14ac:dyDescent="0.25">
      <c r="F352" s="5"/>
      <c r="G352" s="5"/>
      <c r="H352" s="5"/>
    </row>
    <row r="353" spans="6:8" x14ac:dyDescent="0.25">
      <c r="F353" s="5"/>
      <c r="G353" s="5"/>
      <c r="H353" s="5"/>
    </row>
    <row r="354" spans="6:8" x14ac:dyDescent="0.25">
      <c r="F354" s="5"/>
      <c r="G354" s="5"/>
      <c r="H354" s="5"/>
    </row>
    <row r="355" spans="6:8" x14ac:dyDescent="0.25">
      <c r="F355" s="5"/>
      <c r="G355" s="5"/>
      <c r="H355" s="5"/>
    </row>
    <row r="356" spans="6:8" x14ac:dyDescent="0.25">
      <c r="F356" s="5"/>
      <c r="G356" s="5"/>
      <c r="H356" s="5"/>
    </row>
    <row r="357" spans="6:8" x14ac:dyDescent="0.25">
      <c r="F357" s="5"/>
      <c r="G357" s="5"/>
      <c r="H357" s="5"/>
    </row>
    <row r="358" spans="6:8" x14ac:dyDescent="0.25">
      <c r="F358" s="5"/>
      <c r="G358" s="5"/>
      <c r="H358" s="5"/>
    </row>
    <row r="359" spans="6:8" x14ac:dyDescent="0.25">
      <c r="F359" s="5"/>
      <c r="G359" s="5"/>
      <c r="H359" s="5"/>
    </row>
    <row r="360" spans="6:8" x14ac:dyDescent="0.25">
      <c r="F360" s="5"/>
      <c r="G360" s="5"/>
      <c r="H360" s="5"/>
    </row>
    <row r="361" spans="6:8" x14ac:dyDescent="0.25">
      <c r="F361" s="5"/>
      <c r="G361" s="5"/>
      <c r="H361" s="5"/>
    </row>
    <row r="362" spans="6:8" x14ac:dyDescent="0.25">
      <c r="F362" s="5"/>
      <c r="G362" s="5"/>
      <c r="H362" s="5"/>
    </row>
    <row r="363" spans="6:8" x14ac:dyDescent="0.25">
      <c r="F363" s="5"/>
      <c r="G363" s="5"/>
      <c r="H363" s="5"/>
    </row>
    <row r="364" spans="6:8" x14ac:dyDescent="0.25">
      <c r="F364" s="5"/>
      <c r="G364" s="5"/>
      <c r="H364" s="5"/>
    </row>
    <row r="365" spans="6:8" x14ac:dyDescent="0.25">
      <c r="F365" s="5"/>
      <c r="G365" s="5"/>
      <c r="H365" s="5"/>
    </row>
    <row r="366" spans="6:8" x14ac:dyDescent="0.25">
      <c r="F366" s="5"/>
      <c r="G366" s="5"/>
      <c r="H366" s="5"/>
    </row>
    <row r="367" spans="6:8" x14ac:dyDescent="0.25">
      <c r="F367" s="5"/>
      <c r="G367" s="5"/>
      <c r="H367" s="5"/>
    </row>
    <row r="368" spans="6:8" x14ac:dyDescent="0.25">
      <c r="F368" s="5"/>
      <c r="G368" s="5"/>
      <c r="H368" s="5"/>
    </row>
    <row r="369" spans="6:8" x14ac:dyDescent="0.25">
      <c r="F369" s="5"/>
      <c r="G369" s="5"/>
      <c r="H369" s="5"/>
    </row>
    <row r="370" spans="6:8" x14ac:dyDescent="0.25">
      <c r="F370" s="5"/>
      <c r="G370" s="5"/>
      <c r="H370" s="5"/>
    </row>
    <row r="371" spans="6:8" x14ac:dyDescent="0.25">
      <c r="F371" s="5"/>
      <c r="G371" s="5"/>
      <c r="H371" s="5"/>
    </row>
    <row r="372" spans="6:8" x14ac:dyDescent="0.25">
      <c r="F372" s="5"/>
      <c r="G372" s="5"/>
      <c r="H372" s="5"/>
    </row>
    <row r="373" spans="6:8" x14ac:dyDescent="0.25">
      <c r="F373" s="5"/>
      <c r="G373" s="5"/>
      <c r="H373" s="5"/>
    </row>
    <row r="374" spans="6:8" x14ac:dyDescent="0.25">
      <c r="F374" s="5"/>
      <c r="G374" s="5"/>
      <c r="H374" s="5"/>
    </row>
    <row r="375" spans="6:8" x14ac:dyDescent="0.25">
      <c r="F375" s="5"/>
      <c r="G375" s="5"/>
      <c r="H375" s="5"/>
    </row>
    <row r="376" spans="6:8" x14ac:dyDescent="0.25">
      <c r="F376" s="5"/>
      <c r="G376" s="5"/>
      <c r="H376" s="5"/>
    </row>
    <row r="377" spans="6:8" x14ac:dyDescent="0.25">
      <c r="F377" s="5"/>
      <c r="G377" s="5"/>
      <c r="H377" s="5"/>
    </row>
    <row r="378" spans="6:8" x14ac:dyDescent="0.25">
      <c r="F378" s="5"/>
      <c r="G378" s="5"/>
      <c r="H378" s="5"/>
    </row>
    <row r="379" spans="6:8" x14ac:dyDescent="0.25">
      <c r="F379" s="5"/>
      <c r="G379" s="5"/>
      <c r="H379" s="5"/>
    </row>
    <row r="380" spans="6:8" x14ac:dyDescent="0.25">
      <c r="F380" s="5"/>
      <c r="G380" s="5"/>
      <c r="H380" s="5"/>
    </row>
    <row r="381" spans="6:8" x14ac:dyDescent="0.25">
      <c r="F381" s="5"/>
      <c r="G381" s="5"/>
      <c r="H381" s="5"/>
    </row>
    <row r="382" spans="6:8" x14ac:dyDescent="0.25">
      <c r="F382" s="5"/>
      <c r="G382" s="5"/>
      <c r="H382" s="5"/>
    </row>
    <row r="383" spans="6:8" x14ac:dyDescent="0.25">
      <c r="F383" s="5"/>
      <c r="G383" s="5"/>
      <c r="H383" s="5"/>
    </row>
    <row r="384" spans="6:8" x14ac:dyDescent="0.25">
      <c r="F384" s="5"/>
      <c r="G384" s="5"/>
      <c r="H384" s="5"/>
    </row>
    <row r="385" spans="6:8" x14ac:dyDescent="0.25">
      <c r="F385" s="5"/>
      <c r="G385" s="5"/>
      <c r="H385" s="5"/>
    </row>
    <row r="386" spans="6:8" x14ac:dyDescent="0.25">
      <c r="F386" s="5"/>
      <c r="G386" s="5"/>
      <c r="H386" s="5"/>
    </row>
    <row r="387" spans="6:8" x14ac:dyDescent="0.25">
      <c r="F387" s="5"/>
      <c r="G387" s="5"/>
      <c r="H387" s="5"/>
    </row>
    <row r="388" spans="6:8" x14ac:dyDescent="0.25">
      <c r="F388" s="5"/>
      <c r="G388" s="5"/>
      <c r="H388" s="5"/>
    </row>
    <row r="389" spans="6:8" x14ac:dyDescent="0.25">
      <c r="F389" s="5"/>
      <c r="G389" s="5"/>
      <c r="H389" s="5"/>
    </row>
    <row r="390" spans="6:8" x14ac:dyDescent="0.25">
      <c r="F390" s="5"/>
      <c r="G390" s="5"/>
      <c r="H390" s="5"/>
    </row>
    <row r="391" spans="6:8" x14ac:dyDescent="0.25">
      <c r="F391" s="5"/>
      <c r="G391" s="5"/>
      <c r="H391" s="5"/>
    </row>
    <row r="392" spans="6:8" x14ac:dyDescent="0.25">
      <c r="F392" s="5"/>
      <c r="G392" s="5"/>
      <c r="H392" s="5"/>
    </row>
    <row r="393" spans="6:8" x14ac:dyDescent="0.25">
      <c r="F393" s="5"/>
      <c r="G393" s="5"/>
      <c r="H393" s="5"/>
    </row>
    <row r="394" spans="6:8" x14ac:dyDescent="0.25">
      <c r="F394" s="5"/>
      <c r="G394" s="5"/>
      <c r="H394" s="5"/>
    </row>
    <row r="395" spans="6:8" x14ac:dyDescent="0.25">
      <c r="F395" s="5"/>
      <c r="G395" s="5"/>
      <c r="H395" s="5"/>
    </row>
    <row r="396" spans="6:8" x14ac:dyDescent="0.25">
      <c r="F396" s="5"/>
      <c r="G396" s="5"/>
      <c r="H396" s="5"/>
    </row>
    <row r="397" spans="6:8" x14ac:dyDescent="0.25">
      <c r="F397" s="5"/>
      <c r="G397" s="5"/>
      <c r="H397" s="5"/>
    </row>
    <row r="398" spans="6:8" x14ac:dyDescent="0.25">
      <c r="F398" s="5"/>
      <c r="G398" s="5"/>
      <c r="H398" s="5"/>
    </row>
    <row r="399" spans="6:8" x14ac:dyDescent="0.25">
      <c r="F399" s="5"/>
      <c r="G399" s="5"/>
      <c r="H399" s="5"/>
    </row>
    <row r="400" spans="6:8" x14ac:dyDescent="0.25">
      <c r="F400" s="5"/>
      <c r="G400" s="5"/>
      <c r="H400" s="5"/>
    </row>
    <row r="401" spans="6:8" x14ac:dyDescent="0.25">
      <c r="F401" s="5"/>
      <c r="G401" s="5"/>
      <c r="H401" s="5"/>
    </row>
    <row r="402" spans="6:8" x14ac:dyDescent="0.25">
      <c r="F402" s="5"/>
      <c r="G402" s="5"/>
      <c r="H402" s="5"/>
    </row>
    <row r="403" spans="6:8" x14ac:dyDescent="0.25">
      <c r="F403" s="5"/>
      <c r="G403" s="5"/>
      <c r="H403" s="5"/>
    </row>
    <row r="404" spans="6:8" x14ac:dyDescent="0.25">
      <c r="F404" s="5"/>
      <c r="G404" s="5"/>
      <c r="H404" s="5"/>
    </row>
    <row r="405" spans="6:8" x14ac:dyDescent="0.25">
      <c r="F405" s="5"/>
      <c r="G405" s="5"/>
      <c r="H405" s="5"/>
    </row>
    <row r="406" spans="6:8" x14ac:dyDescent="0.25">
      <c r="F406" s="5"/>
      <c r="G406" s="5"/>
      <c r="H406" s="5"/>
    </row>
    <row r="407" spans="6:8" x14ac:dyDescent="0.25">
      <c r="F407" s="5"/>
      <c r="G407" s="5"/>
      <c r="H407" s="5"/>
    </row>
    <row r="408" spans="6:8" x14ac:dyDescent="0.25">
      <c r="F408" s="5"/>
      <c r="G408" s="5"/>
      <c r="H408" s="5"/>
    </row>
    <row r="409" spans="6:8" x14ac:dyDescent="0.25">
      <c r="F409" s="5"/>
      <c r="G409" s="5"/>
      <c r="H409" s="5"/>
    </row>
    <row r="410" spans="6:8" x14ac:dyDescent="0.25">
      <c r="F410" s="5"/>
      <c r="G410" s="5"/>
      <c r="H410" s="5"/>
    </row>
    <row r="411" spans="6:8" x14ac:dyDescent="0.25">
      <c r="F411" s="5"/>
      <c r="G411" s="5"/>
      <c r="H411" s="5"/>
    </row>
    <row r="412" spans="6:8" x14ac:dyDescent="0.25">
      <c r="F412" s="5"/>
      <c r="G412" s="5"/>
      <c r="H412" s="5"/>
    </row>
    <row r="413" spans="6:8" x14ac:dyDescent="0.25">
      <c r="F413" s="5"/>
      <c r="G413" s="5"/>
      <c r="H413" s="5"/>
    </row>
    <row r="414" spans="6:8" x14ac:dyDescent="0.25">
      <c r="F414" s="5"/>
      <c r="G414" s="5"/>
      <c r="H414" s="5"/>
    </row>
    <row r="415" spans="6:8" x14ac:dyDescent="0.25">
      <c r="F415" s="5"/>
      <c r="G415" s="5"/>
      <c r="H415" s="5"/>
    </row>
    <row r="416" spans="6:8" x14ac:dyDescent="0.25">
      <c r="F416" s="5"/>
      <c r="G416" s="5"/>
      <c r="H416" s="5"/>
    </row>
    <row r="417" spans="6:8" x14ac:dyDescent="0.25">
      <c r="F417" s="5"/>
      <c r="G417" s="5"/>
      <c r="H417" s="5"/>
    </row>
    <row r="418" spans="6:8" x14ac:dyDescent="0.25">
      <c r="F418" s="5"/>
      <c r="G418" s="5"/>
      <c r="H418" s="5"/>
    </row>
    <row r="419" spans="6:8" x14ac:dyDescent="0.25">
      <c r="F419" s="5"/>
      <c r="G419" s="5"/>
      <c r="H419" s="5"/>
    </row>
    <row r="420" spans="6:8" x14ac:dyDescent="0.25">
      <c r="F420" s="5"/>
      <c r="G420" s="5"/>
      <c r="H420" s="5"/>
    </row>
    <row r="421" spans="6:8" x14ac:dyDescent="0.25">
      <c r="F421" s="5"/>
      <c r="G421" s="5"/>
      <c r="H421" s="5"/>
    </row>
    <row r="422" spans="6:8" x14ac:dyDescent="0.25">
      <c r="F422" s="5"/>
      <c r="G422" s="5"/>
      <c r="H422" s="5"/>
    </row>
    <row r="423" spans="6:8" x14ac:dyDescent="0.25">
      <c r="F423" s="5"/>
      <c r="G423" s="5"/>
      <c r="H423" s="5"/>
    </row>
    <row r="424" spans="6:8" x14ac:dyDescent="0.25">
      <c r="F424" s="5"/>
      <c r="G424" s="5"/>
      <c r="H424" s="5"/>
    </row>
    <row r="425" spans="6:8" x14ac:dyDescent="0.25">
      <c r="F425" s="5"/>
      <c r="G425" s="5"/>
      <c r="H425" s="5"/>
    </row>
    <row r="426" spans="6:8" x14ac:dyDescent="0.25">
      <c r="F426" s="5"/>
      <c r="G426" s="5"/>
      <c r="H426" s="5"/>
    </row>
    <row r="427" spans="6:8" x14ac:dyDescent="0.25">
      <c r="F427" s="5"/>
      <c r="G427" s="5"/>
      <c r="H427" s="5"/>
    </row>
    <row r="428" spans="6:8" x14ac:dyDescent="0.25">
      <c r="F428" s="5"/>
      <c r="G428" s="5"/>
      <c r="H428" s="5"/>
    </row>
    <row r="429" spans="6:8" x14ac:dyDescent="0.25">
      <c r="F429" s="5"/>
      <c r="G429" s="5"/>
      <c r="H429" s="5"/>
    </row>
    <row r="430" spans="6:8" x14ac:dyDescent="0.25">
      <c r="F430" s="5"/>
      <c r="G430" s="5"/>
      <c r="H430" s="5"/>
    </row>
    <row r="431" spans="6:8" x14ac:dyDescent="0.25">
      <c r="F431" s="5"/>
      <c r="G431" s="5"/>
      <c r="H431" s="5"/>
    </row>
    <row r="432" spans="6:8" x14ac:dyDescent="0.25">
      <c r="F432" s="5"/>
      <c r="G432" s="5"/>
      <c r="H432" s="5"/>
    </row>
    <row r="433" spans="6:8" x14ac:dyDescent="0.25">
      <c r="F433" s="5"/>
      <c r="G433" s="5"/>
      <c r="H433" s="5"/>
    </row>
    <row r="434" spans="6:8" x14ac:dyDescent="0.25">
      <c r="F434" s="5"/>
      <c r="G434" s="5"/>
      <c r="H434" s="5"/>
    </row>
    <row r="435" spans="6:8" x14ac:dyDescent="0.25">
      <c r="F435" s="5"/>
      <c r="G435" s="5"/>
      <c r="H435" s="5"/>
    </row>
    <row r="436" spans="6:8" x14ac:dyDescent="0.25">
      <c r="F436" s="5"/>
      <c r="G436" s="5"/>
      <c r="H436" s="5"/>
    </row>
    <row r="437" spans="6:8" x14ac:dyDescent="0.25">
      <c r="F437" s="5"/>
      <c r="G437" s="5"/>
      <c r="H437" s="5"/>
    </row>
    <row r="438" spans="6:8" x14ac:dyDescent="0.25">
      <c r="F438" s="5"/>
      <c r="G438" s="5"/>
      <c r="H438" s="5"/>
    </row>
    <row r="439" spans="6:8" x14ac:dyDescent="0.25">
      <c r="F439" s="5"/>
      <c r="G439" s="5"/>
      <c r="H439" s="5"/>
    </row>
    <row r="440" spans="6:8" x14ac:dyDescent="0.25">
      <c r="F440" s="5"/>
      <c r="G440" s="5"/>
      <c r="H440" s="5"/>
    </row>
    <row r="441" spans="6:8" x14ac:dyDescent="0.25">
      <c r="F441" s="5"/>
      <c r="G441" s="5"/>
      <c r="H441" s="5"/>
    </row>
    <row r="442" spans="6:8" x14ac:dyDescent="0.25">
      <c r="F442" s="5"/>
      <c r="G442" s="5"/>
      <c r="H442" s="5"/>
    </row>
    <row r="443" spans="6:8" x14ac:dyDescent="0.25">
      <c r="F443" s="5"/>
      <c r="G443" s="5"/>
      <c r="H443" s="5"/>
    </row>
    <row r="444" spans="6:8" x14ac:dyDescent="0.25">
      <c r="F444" s="5"/>
      <c r="G444" s="5"/>
      <c r="H444" s="5"/>
    </row>
    <row r="445" spans="6:8" x14ac:dyDescent="0.25">
      <c r="F445" s="5"/>
      <c r="G445" s="5"/>
      <c r="H445" s="5"/>
    </row>
    <row r="446" spans="6:8" x14ac:dyDescent="0.25">
      <c r="F446" s="5"/>
      <c r="G446" s="5"/>
      <c r="H446" s="5"/>
    </row>
    <row r="447" spans="6:8" x14ac:dyDescent="0.25">
      <c r="F447" s="5"/>
      <c r="G447" s="5"/>
      <c r="H447" s="5"/>
    </row>
    <row r="448" spans="6:8" x14ac:dyDescent="0.25">
      <c r="F448" s="5"/>
      <c r="G448" s="5"/>
      <c r="H448" s="5"/>
    </row>
    <row r="449" spans="6:8" x14ac:dyDescent="0.25">
      <c r="F449" s="5"/>
      <c r="G449" s="5"/>
      <c r="H449" s="5"/>
    </row>
    <row r="450" spans="6:8" x14ac:dyDescent="0.25">
      <c r="F450" s="5"/>
      <c r="G450" s="5"/>
      <c r="H450" s="5"/>
    </row>
    <row r="451" spans="6:8" x14ac:dyDescent="0.25">
      <c r="F451" s="5"/>
      <c r="G451" s="5"/>
      <c r="H451" s="5"/>
    </row>
    <row r="452" spans="6:8" x14ac:dyDescent="0.25">
      <c r="F452" s="5"/>
      <c r="G452" s="5"/>
      <c r="H452" s="5"/>
    </row>
    <row r="453" spans="6:8" x14ac:dyDescent="0.25">
      <c r="F453" s="5"/>
      <c r="G453" s="5"/>
      <c r="H453" s="5"/>
    </row>
    <row r="454" spans="6:8" x14ac:dyDescent="0.25">
      <c r="F454" s="5"/>
      <c r="G454" s="5"/>
      <c r="H454" s="5"/>
    </row>
    <row r="455" spans="6:8" x14ac:dyDescent="0.25">
      <c r="F455" s="5"/>
      <c r="G455" s="5"/>
      <c r="H455" s="5"/>
    </row>
    <row r="456" spans="6:8" x14ac:dyDescent="0.25">
      <c r="F456" s="5"/>
      <c r="G456" s="5"/>
      <c r="H456" s="5"/>
    </row>
    <row r="457" spans="6:8" x14ac:dyDescent="0.25">
      <c r="F457" s="5"/>
      <c r="G457" s="5"/>
      <c r="H457" s="5"/>
    </row>
    <row r="458" spans="6:8" x14ac:dyDescent="0.25">
      <c r="F458" s="5"/>
      <c r="G458" s="5"/>
      <c r="H458" s="5"/>
    </row>
    <row r="459" spans="6:8" x14ac:dyDescent="0.25">
      <c r="F459" s="5"/>
      <c r="G459" s="5"/>
      <c r="H459" s="5"/>
    </row>
    <row r="460" spans="6:8" x14ac:dyDescent="0.25">
      <c r="F460" s="5"/>
      <c r="G460" s="5"/>
      <c r="H460" s="5"/>
    </row>
    <row r="461" spans="6:8" x14ac:dyDescent="0.25">
      <c r="F461" s="5"/>
      <c r="G461" s="5"/>
      <c r="H461" s="5"/>
    </row>
    <row r="462" spans="6:8" x14ac:dyDescent="0.25">
      <c r="F462" s="5"/>
      <c r="G462" s="5"/>
      <c r="H462" s="5"/>
    </row>
    <row r="463" spans="6:8" x14ac:dyDescent="0.25">
      <c r="F463" s="5"/>
      <c r="G463" s="5"/>
      <c r="H463" s="5"/>
    </row>
    <row r="464" spans="6:8" x14ac:dyDescent="0.25">
      <c r="F464" s="5"/>
      <c r="G464" s="5"/>
      <c r="H464" s="5"/>
    </row>
    <row r="465" spans="6:8" x14ac:dyDescent="0.25">
      <c r="F465" s="5"/>
      <c r="G465" s="5"/>
      <c r="H465" s="5"/>
    </row>
    <row r="466" spans="6:8" x14ac:dyDescent="0.25">
      <c r="F466" s="5"/>
      <c r="G466" s="5"/>
      <c r="H466" s="5"/>
    </row>
    <row r="467" spans="6:8" x14ac:dyDescent="0.25">
      <c r="F467" s="5"/>
      <c r="G467" s="5"/>
      <c r="H467" s="5"/>
    </row>
    <row r="468" spans="6:8" x14ac:dyDescent="0.25">
      <c r="F468" s="5"/>
      <c r="G468" s="5"/>
      <c r="H468" s="5"/>
    </row>
    <row r="469" spans="6:8" x14ac:dyDescent="0.25">
      <c r="F469" s="5"/>
      <c r="G469" s="5"/>
      <c r="H469" s="5"/>
    </row>
    <row r="470" spans="6:8" x14ac:dyDescent="0.25">
      <c r="F470" s="5"/>
      <c r="G470" s="5"/>
      <c r="H470" s="5"/>
    </row>
    <row r="471" spans="6:8" x14ac:dyDescent="0.25">
      <c r="F471" s="5"/>
      <c r="G471" s="5"/>
      <c r="H471" s="5"/>
    </row>
    <row r="472" spans="6:8" x14ac:dyDescent="0.25">
      <c r="F472" s="5"/>
      <c r="G472" s="5"/>
      <c r="H472" s="5"/>
    </row>
    <row r="473" spans="6:8" x14ac:dyDescent="0.25">
      <c r="F473" s="5"/>
      <c r="G473" s="5"/>
      <c r="H473" s="5"/>
    </row>
    <row r="474" spans="6:8" x14ac:dyDescent="0.25">
      <c r="F474" s="5"/>
      <c r="G474" s="5"/>
      <c r="H474" s="5"/>
    </row>
    <row r="475" spans="6:8" x14ac:dyDescent="0.25">
      <c r="F475" s="5"/>
      <c r="G475" s="5"/>
      <c r="H475" s="5"/>
    </row>
    <row r="476" spans="6:8" x14ac:dyDescent="0.25">
      <c r="F476" s="5"/>
      <c r="G476" s="5"/>
      <c r="H476" s="5"/>
    </row>
    <row r="477" spans="6:8" x14ac:dyDescent="0.25">
      <c r="F477" s="5"/>
      <c r="G477" s="5"/>
      <c r="H477" s="5"/>
    </row>
    <row r="478" spans="6:8" x14ac:dyDescent="0.25">
      <c r="F478" s="5"/>
      <c r="G478" s="5"/>
      <c r="H478" s="5"/>
    </row>
    <row r="479" spans="6:8" x14ac:dyDescent="0.25">
      <c r="F479" s="5"/>
      <c r="G479" s="5"/>
      <c r="H479" s="5"/>
    </row>
    <row r="480" spans="6:8" x14ac:dyDescent="0.25">
      <c r="F480" s="5"/>
      <c r="G480" s="5"/>
      <c r="H480" s="5"/>
    </row>
    <row r="481" spans="6:8" x14ac:dyDescent="0.25">
      <c r="F481" s="5"/>
      <c r="G481" s="5"/>
      <c r="H481" s="5"/>
    </row>
    <row r="482" spans="6:8" x14ac:dyDescent="0.25">
      <c r="F482" s="5"/>
      <c r="G482" s="5"/>
      <c r="H482" s="5"/>
    </row>
    <row r="483" spans="6:8" x14ac:dyDescent="0.25">
      <c r="F483" s="5"/>
      <c r="G483" s="5"/>
      <c r="H483" s="5"/>
    </row>
    <row r="484" spans="6:8" x14ac:dyDescent="0.25">
      <c r="F484" s="5"/>
      <c r="G484" s="5"/>
      <c r="H484" s="5"/>
    </row>
    <row r="485" spans="6:8" x14ac:dyDescent="0.25">
      <c r="F485" s="5"/>
      <c r="G485" s="5"/>
      <c r="H485" s="5"/>
    </row>
    <row r="486" spans="6:8" x14ac:dyDescent="0.25">
      <c r="F486" s="5"/>
      <c r="G486" s="5"/>
      <c r="H486" s="5"/>
    </row>
    <row r="487" spans="6:8" x14ac:dyDescent="0.25">
      <c r="F487" s="5"/>
      <c r="G487" s="5"/>
      <c r="H487" s="5"/>
    </row>
    <row r="488" spans="6:8" x14ac:dyDescent="0.25">
      <c r="F488" s="5"/>
      <c r="G488" s="5"/>
      <c r="H488" s="5"/>
    </row>
    <row r="489" spans="6:8" x14ac:dyDescent="0.25">
      <c r="F489" s="5"/>
      <c r="G489" s="5"/>
      <c r="H489" s="5"/>
    </row>
    <row r="490" spans="6:8" x14ac:dyDescent="0.25">
      <c r="F490" s="5"/>
      <c r="G490" s="5"/>
      <c r="H490" s="5"/>
    </row>
    <row r="491" spans="6:8" x14ac:dyDescent="0.25">
      <c r="F491" s="5"/>
      <c r="G491" s="5"/>
      <c r="H491" s="5"/>
    </row>
    <row r="492" spans="6:8" x14ac:dyDescent="0.25">
      <c r="F492" s="5"/>
      <c r="G492" s="5"/>
      <c r="H492" s="5"/>
    </row>
    <row r="493" spans="6:8" x14ac:dyDescent="0.25">
      <c r="F493" s="5"/>
      <c r="G493" s="5"/>
      <c r="H493" s="5"/>
    </row>
    <row r="494" spans="6:8" x14ac:dyDescent="0.25">
      <c r="F494" s="5"/>
      <c r="G494" s="5"/>
      <c r="H494" s="5"/>
    </row>
    <row r="495" spans="6:8" x14ac:dyDescent="0.25">
      <c r="F495" s="5"/>
      <c r="G495" s="5"/>
      <c r="H495" s="5"/>
    </row>
    <row r="496" spans="6:8" x14ac:dyDescent="0.25">
      <c r="F496" s="5"/>
      <c r="G496" s="5"/>
      <c r="H496" s="5"/>
    </row>
    <row r="497" spans="6:8" x14ac:dyDescent="0.25">
      <c r="F497" s="5"/>
      <c r="G497" s="5"/>
      <c r="H497" s="5"/>
    </row>
    <row r="498" spans="6:8" x14ac:dyDescent="0.25">
      <c r="F498" s="5"/>
      <c r="G498" s="5"/>
      <c r="H498" s="5"/>
    </row>
    <row r="499" spans="6:8" x14ac:dyDescent="0.25">
      <c r="F499" s="5"/>
      <c r="G499" s="5"/>
      <c r="H499" s="5"/>
    </row>
    <row r="500" spans="6:8" x14ac:dyDescent="0.25">
      <c r="F500" s="5"/>
      <c r="G500" s="5"/>
      <c r="H500" s="5"/>
    </row>
    <row r="501" spans="6:8" x14ac:dyDescent="0.25">
      <c r="F501" s="5"/>
      <c r="G501" s="5"/>
      <c r="H501" s="5"/>
    </row>
    <row r="502" spans="6:8" x14ac:dyDescent="0.25">
      <c r="F502" s="5"/>
      <c r="G502" s="5"/>
      <c r="H502" s="5"/>
    </row>
    <row r="503" spans="6:8" x14ac:dyDescent="0.25">
      <c r="F503" s="5"/>
      <c r="G503" s="5"/>
      <c r="H503" s="5"/>
    </row>
    <row r="504" spans="6:8" x14ac:dyDescent="0.25">
      <c r="F504" s="5"/>
      <c r="G504" s="5"/>
      <c r="H504" s="5"/>
    </row>
    <row r="505" spans="6:8" x14ac:dyDescent="0.25">
      <c r="F505" s="5"/>
      <c r="G505" s="5"/>
      <c r="H505" s="5"/>
    </row>
    <row r="506" spans="6:8" x14ac:dyDescent="0.25">
      <c r="F506" s="5"/>
      <c r="G506" s="5"/>
      <c r="H506" s="5"/>
    </row>
    <row r="507" spans="6:8" x14ac:dyDescent="0.25">
      <c r="F507" s="5"/>
      <c r="G507" s="5"/>
      <c r="H507" s="5"/>
    </row>
    <row r="508" spans="6:8" x14ac:dyDescent="0.25">
      <c r="F508" s="5"/>
      <c r="G508" s="5"/>
      <c r="H508" s="5"/>
    </row>
    <row r="509" spans="6:8" x14ac:dyDescent="0.25">
      <c r="F509" s="5"/>
      <c r="G509" s="5"/>
      <c r="H509" s="5"/>
    </row>
    <row r="510" spans="6:8" x14ac:dyDescent="0.25">
      <c r="F510" s="5"/>
      <c r="G510" s="5"/>
      <c r="H510" s="5"/>
    </row>
    <row r="511" spans="6:8" x14ac:dyDescent="0.25">
      <c r="F511" s="5"/>
      <c r="G511" s="5"/>
      <c r="H511" s="5"/>
    </row>
    <row r="512" spans="6:8" x14ac:dyDescent="0.25">
      <c r="F512" s="5"/>
      <c r="G512" s="5"/>
      <c r="H512" s="5"/>
    </row>
    <row r="513" spans="6:8" x14ac:dyDescent="0.25">
      <c r="F513" s="5"/>
      <c r="G513" s="5"/>
      <c r="H513" s="5"/>
    </row>
    <row r="514" spans="6:8" x14ac:dyDescent="0.25">
      <c r="F514" s="5"/>
      <c r="G514" s="5"/>
      <c r="H514" s="5"/>
    </row>
    <row r="515" spans="6:8" x14ac:dyDescent="0.25">
      <c r="F515" s="5"/>
      <c r="G515" s="5"/>
      <c r="H515" s="5"/>
    </row>
    <row r="516" spans="6:8" x14ac:dyDescent="0.25">
      <c r="F516" s="5"/>
      <c r="G516" s="5"/>
      <c r="H516" s="5"/>
    </row>
    <row r="517" spans="6:8" x14ac:dyDescent="0.25">
      <c r="F517" s="5"/>
      <c r="G517" s="5"/>
      <c r="H517" s="5"/>
    </row>
    <row r="518" spans="6:8" x14ac:dyDescent="0.25">
      <c r="F518" s="5"/>
      <c r="G518" s="5"/>
      <c r="H518" s="5"/>
    </row>
    <row r="519" spans="6:8" x14ac:dyDescent="0.25">
      <c r="F519" s="5"/>
      <c r="G519" s="5"/>
      <c r="H519" s="5"/>
    </row>
    <row r="520" spans="6:8" x14ac:dyDescent="0.25">
      <c r="F520" s="5"/>
      <c r="G520" s="5"/>
      <c r="H520" s="5"/>
    </row>
    <row r="521" spans="6:8" x14ac:dyDescent="0.25">
      <c r="F521" s="5"/>
      <c r="G521" s="5"/>
      <c r="H521" s="5"/>
    </row>
    <row r="522" spans="6:8" x14ac:dyDescent="0.25">
      <c r="F522" s="5"/>
      <c r="G522" s="5"/>
      <c r="H522" s="5"/>
    </row>
    <row r="523" spans="6:8" x14ac:dyDescent="0.25">
      <c r="F523" s="5"/>
      <c r="G523" s="5"/>
      <c r="H523" s="5"/>
    </row>
    <row r="524" spans="6:8" x14ac:dyDescent="0.25">
      <c r="F524" s="5"/>
      <c r="G524" s="5"/>
      <c r="H524" s="5"/>
    </row>
    <row r="525" spans="6:8" x14ac:dyDescent="0.25">
      <c r="F525" s="5"/>
      <c r="G525" s="5"/>
      <c r="H525" s="5"/>
    </row>
    <row r="526" spans="6:8" x14ac:dyDescent="0.25">
      <c r="F526" s="5"/>
      <c r="G526" s="5"/>
      <c r="H526" s="5"/>
    </row>
    <row r="527" spans="6:8" x14ac:dyDescent="0.25">
      <c r="F527" s="5"/>
      <c r="G527" s="5"/>
      <c r="H527" s="5"/>
    </row>
    <row r="528" spans="6:8" x14ac:dyDescent="0.25">
      <c r="F528" s="5"/>
      <c r="G528" s="5"/>
      <c r="H528" s="5"/>
    </row>
    <row r="529" spans="6:8" x14ac:dyDescent="0.25">
      <c r="F529" s="5"/>
      <c r="G529" s="5"/>
      <c r="H529" s="5"/>
    </row>
    <row r="530" spans="6:8" x14ac:dyDescent="0.25">
      <c r="F530" s="5"/>
      <c r="G530" s="5"/>
      <c r="H530" s="5"/>
    </row>
    <row r="531" spans="6:8" x14ac:dyDescent="0.25">
      <c r="F531" s="5"/>
      <c r="G531" s="5"/>
      <c r="H531" s="5"/>
    </row>
    <row r="532" spans="6:8" x14ac:dyDescent="0.25">
      <c r="F532" s="5"/>
      <c r="G532" s="5"/>
      <c r="H532" s="5"/>
    </row>
    <row r="533" spans="6:8" x14ac:dyDescent="0.25">
      <c r="F533" s="5"/>
      <c r="G533" s="5"/>
      <c r="H533" s="5"/>
    </row>
    <row r="534" spans="6:8" x14ac:dyDescent="0.25">
      <c r="F534" s="5"/>
      <c r="G534" s="5"/>
      <c r="H534" s="5"/>
    </row>
    <row r="535" spans="6:8" x14ac:dyDescent="0.25">
      <c r="F535" s="5"/>
      <c r="G535" s="5"/>
      <c r="H535" s="5"/>
    </row>
    <row r="536" spans="6:8" x14ac:dyDescent="0.25">
      <c r="F536" s="5"/>
      <c r="G536" s="5"/>
      <c r="H536" s="5"/>
    </row>
    <row r="537" spans="6:8" x14ac:dyDescent="0.25">
      <c r="F537" s="5"/>
      <c r="G537" s="5"/>
      <c r="H537" s="5"/>
    </row>
    <row r="538" spans="6:8" x14ac:dyDescent="0.25">
      <c r="F538" s="5"/>
      <c r="G538" s="5"/>
      <c r="H538" s="5"/>
    </row>
    <row r="539" spans="6:8" x14ac:dyDescent="0.25">
      <c r="F539" s="5"/>
      <c r="G539" s="5"/>
      <c r="H539" s="5"/>
    </row>
    <row r="540" spans="6:8" x14ac:dyDescent="0.25">
      <c r="F540" s="5"/>
      <c r="G540" s="5"/>
      <c r="H540" s="5"/>
    </row>
    <row r="541" spans="6:8" x14ac:dyDescent="0.25">
      <c r="F541" s="5"/>
      <c r="G541" s="5"/>
      <c r="H541" s="5"/>
    </row>
    <row r="542" spans="6:8" x14ac:dyDescent="0.25">
      <c r="F542" s="5"/>
      <c r="G542" s="5"/>
      <c r="H542" s="5"/>
    </row>
    <row r="543" spans="6:8" x14ac:dyDescent="0.25">
      <c r="F543" s="5"/>
      <c r="G543" s="5"/>
      <c r="H543" s="5"/>
    </row>
    <row r="544" spans="6:8" x14ac:dyDescent="0.25">
      <c r="F544" s="5"/>
      <c r="G544" s="5"/>
      <c r="H544" s="5"/>
    </row>
    <row r="545" spans="6:8" x14ac:dyDescent="0.25">
      <c r="F545" s="5"/>
      <c r="G545" s="5"/>
      <c r="H545" s="5"/>
    </row>
    <row r="546" spans="6:8" x14ac:dyDescent="0.25">
      <c r="F546" s="5"/>
      <c r="G546" s="5"/>
      <c r="H546" s="5"/>
    </row>
    <row r="547" spans="6:8" x14ac:dyDescent="0.25">
      <c r="F547" s="5"/>
      <c r="G547" s="5"/>
      <c r="H547" s="5"/>
    </row>
    <row r="548" spans="6:8" x14ac:dyDescent="0.25">
      <c r="F548" s="5"/>
      <c r="G548" s="5"/>
      <c r="H548" s="5"/>
    </row>
    <row r="549" spans="6:8" x14ac:dyDescent="0.25">
      <c r="F549" s="5"/>
      <c r="G549" s="5"/>
      <c r="H549" s="5"/>
    </row>
    <row r="550" spans="6:8" x14ac:dyDescent="0.25">
      <c r="F550" s="5"/>
      <c r="G550" s="5"/>
      <c r="H550" s="5"/>
    </row>
    <row r="551" spans="6:8" x14ac:dyDescent="0.25">
      <c r="F551" s="5"/>
      <c r="G551" s="5"/>
      <c r="H551" s="5"/>
    </row>
    <row r="552" spans="6:8" x14ac:dyDescent="0.25">
      <c r="F552" s="5"/>
      <c r="G552" s="5"/>
      <c r="H552" s="5"/>
    </row>
    <row r="553" spans="6:8" x14ac:dyDescent="0.25">
      <c r="F553" s="5"/>
      <c r="G553" s="5"/>
      <c r="H553" s="5"/>
    </row>
    <row r="554" spans="6:8" x14ac:dyDescent="0.25">
      <c r="F554" s="5"/>
      <c r="G554" s="5"/>
      <c r="H554" s="5"/>
    </row>
    <row r="555" spans="6:8" x14ac:dyDescent="0.25">
      <c r="F555" s="5"/>
      <c r="G555" s="5"/>
      <c r="H555" s="5"/>
    </row>
    <row r="556" spans="6:8" x14ac:dyDescent="0.25">
      <c r="F556" s="5"/>
      <c r="G556" s="5"/>
      <c r="H556" s="5"/>
    </row>
    <row r="557" spans="6:8" x14ac:dyDescent="0.25">
      <c r="F557" s="5"/>
      <c r="G557" s="5"/>
      <c r="H557" s="5"/>
    </row>
    <row r="558" spans="6:8" x14ac:dyDescent="0.25">
      <c r="F558" s="5"/>
      <c r="G558" s="5"/>
      <c r="H558" s="5"/>
    </row>
    <row r="559" spans="6:8" x14ac:dyDescent="0.25">
      <c r="F559" s="5"/>
      <c r="G559" s="5"/>
      <c r="H559" s="5"/>
    </row>
    <row r="560" spans="6:8" x14ac:dyDescent="0.25">
      <c r="F560" s="5"/>
      <c r="G560" s="5"/>
      <c r="H560" s="5"/>
    </row>
    <row r="561" spans="6:8" x14ac:dyDescent="0.25">
      <c r="F561" s="5"/>
      <c r="G561" s="5"/>
      <c r="H561" s="5"/>
    </row>
    <row r="562" spans="6:8" x14ac:dyDescent="0.25">
      <c r="F562" s="5"/>
      <c r="G562" s="5"/>
      <c r="H562" s="5"/>
    </row>
    <row r="563" spans="6:8" x14ac:dyDescent="0.25">
      <c r="F563" s="5"/>
      <c r="G563" s="5"/>
      <c r="H563" s="5"/>
    </row>
    <row r="564" spans="6:8" x14ac:dyDescent="0.25">
      <c r="F564" s="5"/>
      <c r="G564" s="5"/>
      <c r="H564" s="5"/>
    </row>
    <row r="565" spans="6:8" x14ac:dyDescent="0.25">
      <c r="F565" s="5"/>
      <c r="G565" s="5"/>
      <c r="H565" s="5"/>
    </row>
    <row r="566" spans="6:8" x14ac:dyDescent="0.25">
      <c r="F566" s="5"/>
      <c r="G566" s="5"/>
      <c r="H566" s="5"/>
    </row>
    <row r="567" spans="6:8" x14ac:dyDescent="0.25">
      <c r="F567" s="5"/>
      <c r="G567" s="5"/>
      <c r="H567" s="5"/>
    </row>
    <row r="568" spans="6:8" x14ac:dyDescent="0.25">
      <c r="F568" s="5"/>
      <c r="G568" s="5"/>
      <c r="H568" s="5"/>
    </row>
    <row r="569" spans="6:8" x14ac:dyDescent="0.25">
      <c r="F569" s="5"/>
      <c r="G569" s="5"/>
      <c r="H569" s="5"/>
    </row>
    <row r="570" spans="6:8" x14ac:dyDescent="0.25">
      <c r="F570" s="5"/>
      <c r="G570" s="5"/>
      <c r="H570" s="5"/>
    </row>
    <row r="571" spans="6:8" x14ac:dyDescent="0.25">
      <c r="F571" s="5"/>
      <c r="G571" s="5"/>
      <c r="H571" s="5"/>
    </row>
    <row r="572" spans="6:8" x14ac:dyDescent="0.25">
      <c r="F572" s="5"/>
      <c r="G572" s="5"/>
      <c r="H572" s="5"/>
    </row>
    <row r="573" spans="6:8" x14ac:dyDescent="0.25">
      <c r="F573" s="5"/>
      <c r="G573" s="5"/>
      <c r="H573" s="5"/>
    </row>
    <row r="574" spans="6:8" x14ac:dyDescent="0.25">
      <c r="F574" s="5"/>
      <c r="G574" s="5"/>
      <c r="H574" s="5"/>
    </row>
    <row r="575" spans="6:8" x14ac:dyDescent="0.25">
      <c r="F575" s="5"/>
      <c r="G575" s="5"/>
      <c r="H575" s="5"/>
    </row>
    <row r="576" spans="6:8" x14ac:dyDescent="0.25">
      <c r="F576" s="5"/>
      <c r="G576" s="5"/>
      <c r="H576" s="5"/>
    </row>
    <row r="577" spans="6:8" x14ac:dyDescent="0.25">
      <c r="F577" s="5"/>
      <c r="G577" s="5"/>
      <c r="H577" s="5"/>
    </row>
    <row r="578" spans="6:8" x14ac:dyDescent="0.25">
      <c r="F578" s="5"/>
      <c r="G578" s="5"/>
      <c r="H578" s="5"/>
    </row>
    <row r="579" spans="6:8" x14ac:dyDescent="0.25">
      <c r="F579" s="5"/>
      <c r="G579" s="5"/>
      <c r="H579" s="5"/>
    </row>
    <row r="580" spans="6:8" x14ac:dyDescent="0.25">
      <c r="F580" s="5"/>
      <c r="G580" s="5"/>
      <c r="H580" s="5"/>
    </row>
    <row r="581" spans="6:8" x14ac:dyDescent="0.25">
      <c r="F581" s="5"/>
      <c r="G581" s="5"/>
      <c r="H581" s="5"/>
    </row>
    <row r="582" spans="6:8" x14ac:dyDescent="0.25">
      <c r="F582" s="5"/>
      <c r="G582" s="5"/>
      <c r="H582" s="5"/>
    </row>
    <row r="583" spans="6:8" x14ac:dyDescent="0.25">
      <c r="F583" s="5"/>
      <c r="G583" s="5"/>
      <c r="H583" s="5"/>
    </row>
    <row r="584" spans="6:8" x14ac:dyDescent="0.25">
      <c r="F584" s="5"/>
      <c r="G584" s="5"/>
      <c r="H584" s="5"/>
    </row>
    <row r="585" spans="6:8" x14ac:dyDescent="0.25">
      <c r="F585" s="5"/>
      <c r="G585" s="5"/>
      <c r="H585" s="5"/>
    </row>
    <row r="586" spans="6:8" x14ac:dyDescent="0.25">
      <c r="F586" s="5"/>
      <c r="G586" s="5"/>
      <c r="H586" s="5"/>
    </row>
    <row r="587" spans="6:8" x14ac:dyDescent="0.25">
      <c r="F587" s="5"/>
      <c r="G587" s="5"/>
      <c r="H587" s="5"/>
    </row>
    <row r="588" spans="6:8" x14ac:dyDescent="0.25">
      <c r="F588" s="5"/>
      <c r="G588" s="5"/>
      <c r="H588" s="5"/>
    </row>
    <row r="589" spans="6:8" x14ac:dyDescent="0.25">
      <c r="F589" s="5"/>
      <c r="G589" s="5"/>
      <c r="H589" s="5"/>
    </row>
    <row r="590" spans="6:8" x14ac:dyDescent="0.25">
      <c r="F590" s="5"/>
      <c r="G590" s="5"/>
      <c r="H590" s="5"/>
    </row>
    <row r="591" spans="6:8" x14ac:dyDescent="0.25">
      <c r="F591" s="5"/>
      <c r="G591" s="5"/>
      <c r="H591" s="5"/>
    </row>
    <row r="592" spans="6:8" x14ac:dyDescent="0.25">
      <c r="F592" s="5"/>
      <c r="G592" s="5"/>
      <c r="H592" s="5"/>
    </row>
    <row r="593" spans="6:8" x14ac:dyDescent="0.25">
      <c r="F593" s="5"/>
      <c r="G593" s="5"/>
      <c r="H593" s="5"/>
    </row>
    <row r="594" spans="6:8" x14ac:dyDescent="0.25">
      <c r="F594" s="5"/>
      <c r="G594" s="5"/>
      <c r="H594" s="5"/>
    </row>
    <row r="595" spans="6:8" x14ac:dyDescent="0.25">
      <c r="F595" s="5"/>
      <c r="G595" s="5"/>
      <c r="H595" s="5"/>
    </row>
    <row r="596" spans="6:8" x14ac:dyDescent="0.25">
      <c r="F596" s="5"/>
      <c r="G596" s="5"/>
      <c r="H596" s="5"/>
    </row>
    <row r="597" spans="6:8" x14ac:dyDescent="0.25">
      <c r="F597" s="5"/>
      <c r="G597" s="5"/>
      <c r="H597" s="5"/>
    </row>
    <row r="598" spans="6:8" x14ac:dyDescent="0.25">
      <c r="F598" s="5"/>
      <c r="G598" s="5"/>
      <c r="H598" s="5"/>
    </row>
    <row r="599" spans="6:8" x14ac:dyDescent="0.25">
      <c r="F599" s="5"/>
      <c r="G599" s="5"/>
      <c r="H599" s="5"/>
    </row>
    <row r="600" spans="6:8" x14ac:dyDescent="0.25">
      <c r="F600" s="5"/>
      <c r="G600" s="5"/>
      <c r="H600" s="5"/>
    </row>
    <row r="601" spans="6:8" x14ac:dyDescent="0.25">
      <c r="F601" s="5"/>
      <c r="G601" s="5"/>
      <c r="H601" s="5"/>
    </row>
    <row r="602" spans="6:8" x14ac:dyDescent="0.25">
      <c r="F602" s="5"/>
      <c r="G602" s="5"/>
      <c r="H602" s="5"/>
    </row>
    <row r="603" spans="6:8" x14ac:dyDescent="0.25">
      <c r="F603" s="5"/>
      <c r="G603" s="5"/>
      <c r="H603" s="5"/>
    </row>
    <row r="604" spans="6:8" x14ac:dyDescent="0.25">
      <c r="F604" s="5"/>
      <c r="G604" s="5"/>
      <c r="H604" s="5"/>
    </row>
    <row r="605" spans="6:8" x14ac:dyDescent="0.25">
      <c r="F605" s="5"/>
      <c r="G605" s="5"/>
      <c r="H605" s="5"/>
    </row>
    <row r="606" spans="6:8" x14ac:dyDescent="0.25">
      <c r="F606" s="5"/>
      <c r="G606" s="5"/>
      <c r="H606" s="5"/>
    </row>
    <row r="607" spans="6:8" x14ac:dyDescent="0.25">
      <c r="F607" s="5"/>
      <c r="G607" s="5"/>
      <c r="H607" s="5"/>
    </row>
    <row r="608" spans="6:8" x14ac:dyDescent="0.25">
      <c r="F608" s="5"/>
      <c r="G608" s="5"/>
      <c r="H608" s="5"/>
    </row>
    <row r="609" spans="6:8" x14ac:dyDescent="0.25">
      <c r="F609" s="5"/>
      <c r="G609" s="5"/>
      <c r="H609" s="5"/>
    </row>
    <row r="610" spans="6:8" x14ac:dyDescent="0.25">
      <c r="F610" s="5"/>
      <c r="G610" s="5"/>
      <c r="H610" s="5"/>
    </row>
    <row r="611" spans="6:8" x14ac:dyDescent="0.25">
      <c r="F611" s="5"/>
      <c r="G611" s="5"/>
      <c r="H611" s="5"/>
    </row>
    <row r="612" spans="6:8" x14ac:dyDescent="0.25">
      <c r="F612" s="5"/>
      <c r="G612" s="5"/>
      <c r="H612" s="5"/>
    </row>
    <row r="613" spans="6:8" x14ac:dyDescent="0.25">
      <c r="F613" s="5"/>
      <c r="G613" s="5"/>
      <c r="H613" s="5"/>
    </row>
    <row r="614" spans="6:8" x14ac:dyDescent="0.25">
      <c r="F614" s="5"/>
      <c r="G614" s="5"/>
      <c r="H614" s="5"/>
    </row>
    <row r="615" spans="6:8" x14ac:dyDescent="0.25">
      <c r="F615" s="5"/>
      <c r="G615" s="5"/>
      <c r="H615" s="5"/>
    </row>
    <row r="616" spans="6:8" x14ac:dyDescent="0.25">
      <c r="F616" s="5"/>
      <c r="G616" s="5"/>
      <c r="H616" s="5"/>
    </row>
    <row r="617" spans="6:8" x14ac:dyDescent="0.25">
      <c r="F617" s="5"/>
      <c r="G617" s="5"/>
      <c r="H617" s="5"/>
    </row>
    <row r="618" spans="6:8" x14ac:dyDescent="0.25">
      <c r="F618" s="5"/>
      <c r="G618" s="5"/>
      <c r="H618" s="5"/>
    </row>
    <row r="619" spans="6:8" x14ac:dyDescent="0.25">
      <c r="F619" s="5"/>
      <c r="G619" s="5"/>
      <c r="H619" s="5"/>
    </row>
    <row r="620" spans="6:8" x14ac:dyDescent="0.25">
      <c r="F620" s="5"/>
      <c r="G620" s="5"/>
      <c r="H620" s="5"/>
    </row>
    <row r="621" spans="6:8" x14ac:dyDescent="0.25">
      <c r="F621" s="5"/>
      <c r="G621" s="5"/>
      <c r="H621" s="5"/>
    </row>
    <row r="622" spans="6:8" x14ac:dyDescent="0.25">
      <c r="F622" s="5"/>
      <c r="G622" s="5"/>
      <c r="H622" s="5"/>
    </row>
    <row r="623" spans="6:8" x14ac:dyDescent="0.25">
      <c r="F623" s="5"/>
      <c r="G623" s="5"/>
      <c r="H623" s="5"/>
    </row>
    <row r="624" spans="6:8" x14ac:dyDescent="0.25">
      <c r="F624" s="5"/>
      <c r="G624" s="5"/>
      <c r="H624" s="5"/>
    </row>
    <row r="625" spans="6:8" x14ac:dyDescent="0.25">
      <c r="F625" s="5"/>
      <c r="G625" s="5"/>
      <c r="H625" s="5"/>
    </row>
    <row r="626" spans="6:8" x14ac:dyDescent="0.25">
      <c r="F626" s="5"/>
      <c r="G626" s="5"/>
      <c r="H626" s="5"/>
    </row>
    <row r="627" spans="6:8" x14ac:dyDescent="0.25">
      <c r="F627" s="5"/>
      <c r="G627" s="5"/>
      <c r="H627" s="5"/>
    </row>
    <row r="628" spans="6:8" x14ac:dyDescent="0.25">
      <c r="F628" s="5"/>
      <c r="G628" s="5"/>
      <c r="H628" s="5"/>
    </row>
    <row r="629" spans="6:8" x14ac:dyDescent="0.25">
      <c r="F629" s="5"/>
      <c r="G629" s="5"/>
      <c r="H629" s="5"/>
    </row>
    <row r="630" spans="6:8" x14ac:dyDescent="0.25">
      <c r="F630" s="5"/>
      <c r="G630" s="5"/>
      <c r="H630" s="5"/>
    </row>
    <row r="631" spans="6:8" x14ac:dyDescent="0.25">
      <c r="F631" s="5"/>
      <c r="G631" s="5"/>
      <c r="H631" s="5"/>
    </row>
    <row r="632" spans="6:8" x14ac:dyDescent="0.25">
      <c r="F632" s="5"/>
      <c r="G632" s="5"/>
      <c r="H632" s="5"/>
    </row>
    <row r="633" spans="6:8" x14ac:dyDescent="0.25">
      <c r="F633" s="5"/>
      <c r="G633" s="5"/>
      <c r="H633" s="5"/>
    </row>
    <row r="634" spans="6:8" x14ac:dyDescent="0.25">
      <c r="F634" s="5"/>
      <c r="G634" s="5"/>
      <c r="H634" s="5"/>
    </row>
    <row r="635" spans="6:8" x14ac:dyDescent="0.25">
      <c r="F635" s="5"/>
      <c r="G635" s="5"/>
      <c r="H635" s="5"/>
    </row>
    <row r="636" spans="6:8" x14ac:dyDescent="0.25">
      <c r="F636" s="5"/>
      <c r="G636" s="5"/>
      <c r="H636" s="5"/>
    </row>
    <row r="637" spans="6:8" x14ac:dyDescent="0.25">
      <c r="F637" s="5"/>
      <c r="G637" s="5"/>
      <c r="H637" s="5"/>
    </row>
    <row r="638" spans="6:8" x14ac:dyDescent="0.25">
      <c r="F638" s="5"/>
      <c r="G638" s="5"/>
      <c r="H638" s="5"/>
    </row>
    <row r="639" spans="6:8" x14ac:dyDescent="0.25">
      <c r="F639" s="5"/>
      <c r="G639" s="5"/>
      <c r="H639" s="5"/>
    </row>
    <row r="640" spans="6:8" x14ac:dyDescent="0.25">
      <c r="F640" s="5"/>
      <c r="G640" s="5"/>
      <c r="H640" s="5"/>
    </row>
    <row r="641" spans="6:8" x14ac:dyDescent="0.25">
      <c r="F641" s="5"/>
      <c r="G641" s="5"/>
      <c r="H641" s="5"/>
    </row>
    <row r="642" spans="6:8" x14ac:dyDescent="0.25">
      <c r="F642" s="5"/>
      <c r="G642" s="5"/>
      <c r="H642" s="5"/>
    </row>
    <row r="643" spans="6:8" x14ac:dyDescent="0.25">
      <c r="F643" s="5"/>
      <c r="G643" s="5"/>
      <c r="H643" s="5"/>
    </row>
    <row r="644" spans="6:8" x14ac:dyDescent="0.25">
      <c r="F644" s="5"/>
      <c r="G644" s="5"/>
      <c r="H644" s="5"/>
    </row>
    <row r="645" spans="6:8" x14ac:dyDescent="0.25">
      <c r="F645" s="5"/>
      <c r="G645" s="5"/>
      <c r="H645" s="5"/>
    </row>
    <row r="646" spans="6:8" x14ac:dyDescent="0.25">
      <c r="F646" s="5"/>
      <c r="G646" s="5"/>
      <c r="H646" s="5"/>
    </row>
    <row r="647" spans="6:8" x14ac:dyDescent="0.25">
      <c r="F647" s="5"/>
      <c r="G647" s="5"/>
      <c r="H647" s="5"/>
    </row>
    <row r="648" spans="6:8" x14ac:dyDescent="0.25">
      <c r="F648" s="5"/>
      <c r="G648" s="5"/>
      <c r="H648" s="5"/>
    </row>
    <row r="649" spans="6:8" x14ac:dyDescent="0.25">
      <c r="F649" s="5"/>
      <c r="G649" s="5"/>
      <c r="H649" s="5"/>
    </row>
    <row r="650" spans="6:8" x14ac:dyDescent="0.25">
      <c r="F650" s="5"/>
      <c r="G650" s="5"/>
      <c r="H650" s="5"/>
    </row>
    <row r="651" spans="6:8" x14ac:dyDescent="0.25">
      <c r="F651" s="5"/>
      <c r="G651" s="5"/>
      <c r="H651" s="5"/>
    </row>
    <row r="652" spans="6:8" x14ac:dyDescent="0.25">
      <c r="F652" s="5"/>
      <c r="G652" s="5"/>
      <c r="H652" s="5"/>
    </row>
    <row r="653" spans="6:8" x14ac:dyDescent="0.25">
      <c r="F653" s="5"/>
      <c r="G653" s="5"/>
      <c r="H653" s="5"/>
    </row>
    <row r="654" spans="6:8" x14ac:dyDescent="0.25">
      <c r="F654" s="5"/>
      <c r="G654" s="5"/>
      <c r="H654" s="5"/>
    </row>
    <row r="655" spans="6:8" x14ac:dyDescent="0.25">
      <c r="F655" s="5"/>
      <c r="G655" s="5"/>
      <c r="H655" s="5"/>
    </row>
    <row r="656" spans="6:8" x14ac:dyDescent="0.25">
      <c r="F656" s="5"/>
      <c r="G656" s="5"/>
      <c r="H656" s="5"/>
    </row>
    <row r="657" spans="6:8" x14ac:dyDescent="0.25">
      <c r="F657" s="5"/>
      <c r="G657" s="5"/>
      <c r="H657" s="5"/>
    </row>
    <row r="658" spans="6:8" x14ac:dyDescent="0.25">
      <c r="F658" s="5"/>
      <c r="G658" s="5"/>
      <c r="H658" s="5"/>
    </row>
    <row r="659" spans="6:8" x14ac:dyDescent="0.25">
      <c r="F659" s="5"/>
      <c r="G659" s="5"/>
      <c r="H659" s="5"/>
    </row>
    <row r="660" spans="6:8" x14ac:dyDescent="0.25">
      <c r="F660" s="5"/>
      <c r="G660" s="5"/>
      <c r="H660" s="5"/>
    </row>
    <row r="661" spans="6:8" x14ac:dyDescent="0.25">
      <c r="F661" s="5"/>
      <c r="G661" s="5"/>
      <c r="H661" s="5"/>
    </row>
    <row r="662" spans="6:8" x14ac:dyDescent="0.25">
      <c r="F662" s="5"/>
      <c r="G662" s="5"/>
      <c r="H662" s="5"/>
    </row>
    <row r="663" spans="6:8" x14ac:dyDescent="0.25">
      <c r="F663" s="5"/>
      <c r="G663" s="5"/>
      <c r="H663" s="5"/>
    </row>
    <row r="664" spans="6:8" x14ac:dyDescent="0.25">
      <c r="F664" s="5"/>
      <c r="G664" s="5"/>
      <c r="H664" s="5"/>
    </row>
    <row r="665" spans="6:8" x14ac:dyDescent="0.25">
      <c r="F665" s="5"/>
      <c r="G665" s="5"/>
      <c r="H665" s="5"/>
    </row>
    <row r="666" spans="6:8" x14ac:dyDescent="0.25">
      <c r="F666" s="5"/>
      <c r="G666" s="5"/>
      <c r="H666" s="5"/>
    </row>
    <row r="667" spans="6:8" x14ac:dyDescent="0.25">
      <c r="F667" s="5"/>
      <c r="G667" s="5"/>
      <c r="H667" s="5"/>
    </row>
    <row r="668" spans="6:8" x14ac:dyDescent="0.25">
      <c r="F668" s="5"/>
      <c r="G668" s="5"/>
      <c r="H668" s="5"/>
    </row>
    <row r="669" spans="6:8" x14ac:dyDescent="0.25">
      <c r="F669" s="5"/>
      <c r="G669" s="5"/>
      <c r="H669" s="5"/>
    </row>
    <row r="670" spans="6:8" x14ac:dyDescent="0.25">
      <c r="F670" s="5"/>
      <c r="G670" s="5"/>
      <c r="H670" s="5"/>
    </row>
    <row r="671" spans="6:8" x14ac:dyDescent="0.25">
      <c r="F671" s="5"/>
      <c r="G671" s="5"/>
      <c r="H671" s="5"/>
    </row>
    <row r="672" spans="6:8" x14ac:dyDescent="0.25">
      <c r="F672" s="5"/>
      <c r="G672" s="5"/>
      <c r="H672" s="5"/>
    </row>
    <row r="673" spans="6:8" x14ac:dyDescent="0.25">
      <c r="F673" s="5"/>
      <c r="G673" s="5"/>
      <c r="H673" s="5"/>
    </row>
    <row r="674" spans="6:8" x14ac:dyDescent="0.25">
      <c r="F674" s="5"/>
      <c r="G674" s="5"/>
      <c r="H674" s="5"/>
    </row>
    <row r="675" spans="6:8" x14ac:dyDescent="0.25">
      <c r="F675" s="5"/>
      <c r="G675" s="5"/>
      <c r="H675" s="5"/>
    </row>
    <row r="676" spans="6:8" x14ac:dyDescent="0.25">
      <c r="F676" s="5"/>
      <c r="G676" s="5"/>
      <c r="H676" s="5"/>
    </row>
    <row r="677" spans="6:8" x14ac:dyDescent="0.25">
      <c r="F677" s="5"/>
      <c r="G677" s="5"/>
      <c r="H677" s="5"/>
    </row>
    <row r="678" spans="6:8" x14ac:dyDescent="0.25">
      <c r="F678" s="5"/>
      <c r="G678" s="5"/>
      <c r="H678" s="5"/>
    </row>
    <row r="679" spans="6:8" x14ac:dyDescent="0.25">
      <c r="F679" s="5"/>
      <c r="G679" s="5"/>
      <c r="H679" s="5"/>
    </row>
    <row r="680" spans="6:8" x14ac:dyDescent="0.25">
      <c r="F680" s="5"/>
      <c r="G680" s="5"/>
      <c r="H680" s="5"/>
    </row>
    <row r="681" spans="6:8" x14ac:dyDescent="0.25">
      <c r="F681" s="5"/>
      <c r="G681" s="5"/>
      <c r="H681" s="5"/>
    </row>
    <row r="682" spans="6:8" x14ac:dyDescent="0.25">
      <c r="F682" s="5"/>
      <c r="G682" s="5"/>
      <c r="H682" s="5"/>
    </row>
    <row r="683" spans="6:8" x14ac:dyDescent="0.25">
      <c r="F683" s="5"/>
      <c r="G683" s="5"/>
      <c r="H683" s="5"/>
    </row>
    <row r="684" spans="6:8" x14ac:dyDescent="0.25">
      <c r="F684" s="5"/>
      <c r="G684" s="5"/>
      <c r="H684" s="5"/>
    </row>
    <row r="685" spans="6:8" x14ac:dyDescent="0.25">
      <c r="F685" s="5"/>
      <c r="G685" s="5"/>
      <c r="H685" s="5"/>
    </row>
    <row r="686" spans="6:8" x14ac:dyDescent="0.25">
      <c r="F686" s="5"/>
      <c r="G686" s="5"/>
      <c r="H686" s="5"/>
    </row>
    <row r="687" spans="6:8" x14ac:dyDescent="0.25">
      <c r="F687" s="5"/>
      <c r="G687" s="5"/>
      <c r="H687" s="5"/>
    </row>
    <row r="688" spans="6:8" x14ac:dyDescent="0.25">
      <c r="F688" s="5"/>
      <c r="G688" s="5"/>
      <c r="H688" s="5"/>
    </row>
    <row r="689" spans="6:8" x14ac:dyDescent="0.25">
      <c r="F689" s="5"/>
      <c r="G689" s="5"/>
      <c r="H689" s="5"/>
    </row>
    <row r="690" spans="6:8" x14ac:dyDescent="0.25">
      <c r="F690" s="5"/>
      <c r="G690" s="5"/>
      <c r="H690" s="5"/>
    </row>
    <row r="691" spans="6:8" x14ac:dyDescent="0.25">
      <c r="F691" s="5"/>
      <c r="G691" s="5"/>
      <c r="H691" s="5"/>
    </row>
    <row r="692" spans="6:8" x14ac:dyDescent="0.25">
      <c r="F692" s="5"/>
      <c r="G692" s="5"/>
      <c r="H692" s="5"/>
    </row>
    <row r="693" spans="6:8" x14ac:dyDescent="0.25">
      <c r="F693" s="5"/>
      <c r="G693" s="5"/>
      <c r="H693" s="5"/>
    </row>
    <row r="694" spans="6:8" x14ac:dyDescent="0.25">
      <c r="F694" s="5"/>
      <c r="G694" s="5"/>
      <c r="H694" s="5"/>
    </row>
    <row r="695" spans="6:8" x14ac:dyDescent="0.25">
      <c r="F695" s="5"/>
      <c r="G695" s="5"/>
      <c r="H695" s="5"/>
    </row>
    <row r="696" spans="6:8" x14ac:dyDescent="0.25">
      <c r="F696" s="5"/>
      <c r="G696" s="5"/>
      <c r="H696" s="5"/>
    </row>
    <row r="697" spans="6:8" x14ac:dyDescent="0.25">
      <c r="F697" s="5"/>
      <c r="G697" s="5"/>
      <c r="H697" s="5"/>
    </row>
    <row r="698" spans="6:8" x14ac:dyDescent="0.25">
      <c r="F698" s="5"/>
      <c r="G698" s="5"/>
      <c r="H698" s="5"/>
    </row>
    <row r="699" spans="6:8" x14ac:dyDescent="0.25">
      <c r="F699" s="5"/>
      <c r="G699" s="5"/>
      <c r="H699" s="5"/>
    </row>
    <row r="700" spans="6:8" x14ac:dyDescent="0.25">
      <c r="F700" s="5"/>
      <c r="G700" s="5"/>
      <c r="H700" s="5"/>
    </row>
    <row r="701" spans="6:8" x14ac:dyDescent="0.25">
      <c r="F701" s="5"/>
      <c r="G701" s="5"/>
      <c r="H701" s="5"/>
    </row>
    <row r="702" spans="6:8" x14ac:dyDescent="0.25">
      <c r="F702" s="5"/>
      <c r="G702" s="5"/>
      <c r="H702" s="5"/>
    </row>
    <row r="703" spans="6:8" x14ac:dyDescent="0.25">
      <c r="F703" s="5"/>
      <c r="G703" s="5"/>
      <c r="H703" s="5"/>
    </row>
    <row r="704" spans="6:8" x14ac:dyDescent="0.25">
      <c r="F704" s="5"/>
      <c r="G704" s="5"/>
      <c r="H704" s="5"/>
    </row>
    <row r="705" spans="6:8" x14ac:dyDescent="0.25">
      <c r="F705" s="5"/>
      <c r="G705" s="5"/>
      <c r="H705" s="5"/>
    </row>
    <row r="706" spans="6:8" x14ac:dyDescent="0.25">
      <c r="F706" s="5"/>
      <c r="G706" s="5"/>
      <c r="H706" s="5"/>
    </row>
    <row r="707" spans="6:8" x14ac:dyDescent="0.25">
      <c r="F707" s="5"/>
      <c r="G707" s="5"/>
      <c r="H707" s="5"/>
    </row>
    <row r="708" spans="6:8" x14ac:dyDescent="0.25">
      <c r="F708" s="5"/>
      <c r="G708" s="5"/>
      <c r="H708" s="5"/>
    </row>
    <row r="709" spans="6:8" x14ac:dyDescent="0.25">
      <c r="F709" s="5"/>
      <c r="G709" s="5"/>
      <c r="H709" s="5"/>
    </row>
    <row r="710" spans="6:8" x14ac:dyDescent="0.25">
      <c r="F710" s="5"/>
      <c r="G710" s="5"/>
      <c r="H710" s="5"/>
    </row>
    <row r="711" spans="6:8" x14ac:dyDescent="0.25">
      <c r="F711" s="5"/>
      <c r="G711" s="5"/>
      <c r="H711" s="5"/>
    </row>
    <row r="712" spans="6:8" x14ac:dyDescent="0.25">
      <c r="F712" s="5"/>
      <c r="G712" s="5"/>
      <c r="H712" s="5"/>
    </row>
    <row r="713" spans="6:8" x14ac:dyDescent="0.25">
      <c r="F713" s="5"/>
      <c r="G713" s="5"/>
      <c r="H713" s="5"/>
    </row>
    <row r="714" spans="6:8" x14ac:dyDescent="0.25">
      <c r="F714" s="5"/>
      <c r="G714" s="5"/>
      <c r="H714" s="5"/>
    </row>
    <row r="715" spans="6:8" x14ac:dyDescent="0.25">
      <c r="F715" s="5"/>
      <c r="G715" s="5"/>
      <c r="H715" s="5"/>
    </row>
    <row r="716" spans="6:8" x14ac:dyDescent="0.25">
      <c r="F716" s="5"/>
      <c r="G716" s="5"/>
      <c r="H716" s="5"/>
    </row>
    <row r="717" spans="6:8" x14ac:dyDescent="0.25">
      <c r="F717" s="5"/>
      <c r="G717" s="5"/>
      <c r="H717" s="5"/>
    </row>
    <row r="718" spans="6:8" x14ac:dyDescent="0.25">
      <c r="F718" s="5"/>
      <c r="G718" s="5"/>
      <c r="H718" s="5"/>
    </row>
    <row r="719" spans="6:8" x14ac:dyDescent="0.25">
      <c r="F719" s="5"/>
      <c r="G719" s="5"/>
      <c r="H719" s="5"/>
    </row>
    <row r="720" spans="6:8" x14ac:dyDescent="0.25">
      <c r="F720" s="5"/>
      <c r="G720" s="5"/>
      <c r="H720" s="5"/>
    </row>
    <row r="721" spans="6:8" x14ac:dyDescent="0.25">
      <c r="F721" s="5"/>
      <c r="G721" s="5"/>
      <c r="H721" s="5"/>
    </row>
    <row r="722" spans="6:8" x14ac:dyDescent="0.25">
      <c r="F722" s="5"/>
      <c r="G722" s="5"/>
      <c r="H722" s="5"/>
    </row>
    <row r="723" spans="6:8" x14ac:dyDescent="0.25">
      <c r="F723" s="5"/>
      <c r="G723" s="5"/>
      <c r="H723" s="5"/>
    </row>
    <row r="724" spans="6:8" x14ac:dyDescent="0.25">
      <c r="F724" s="5"/>
      <c r="G724" s="5"/>
      <c r="H724" s="5"/>
    </row>
    <row r="725" spans="6:8" x14ac:dyDescent="0.25">
      <c r="F725" s="5"/>
      <c r="G725" s="5"/>
      <c r="H725" s="5"/>
    </row>
    <row r="726" spans="6:8" x14ac:dyDescent="0.25">
      <c r="F726" s="5"/>
      <c r="G726" s="5"/>
      <c r="H726" s="5"/>
    </row>
    <row r="727" spans="6:8" x14ac:dyDescent="0.25">
      <c r="F727" s="5"/>
      <c r="G727" s="5"/>
      <c r="H727" s="5"/>
    </row>
    <row r="728" spans="6:8" x14ac:dyDescent="0.25">
      <c r="F728" s="5"/>
      <c r="G728" s="5"/>
      <c r="H728" s="5"/>
    </row>
    <row r="729" spans="6:8" x14ac:dyDescent="0.25">
      <c r="F729" s="5"/>
      <c r="G729" s="5"/>
      <c r="H729" s="5"/>
    </row>
    <row r="730" spans="6:8" x14ac:dyDescent="0.25">
      <c r="F730" s="5"/>
      <c r="G730" s="5"/>
      <c r="H730" s="5"/>
    </row>
    <row r="731" spans="6:8" x14ac:dyDescent="0.25">
      <c r="F731" s="5"/>
      <c r="G731" s="5"/>
      <c r="H731" s="5"/>
    </row>
    <row r="732" spans="6:8" x14ac:dyDescent="0.25">
      <c r="F732" s="5"/>
      <c r="G732" s="5"/>
      <c r="H732" s="5"/>
    </row>
    <row r="733" spans="6:8" x14ac:dyDescent="0.25">
      <c r="F733" s="5"/>
      <c r="G733" s="5"/>
      <c r="H733" s="5"/>
    </row>
    <row r="734" spans="6:8" x14ac:dyDescent="0.25">
      <c r="F734" s="5"/>
      <c r="G734" s="5"/>
      <c r="H734" s="5"/>
    </row>
    <row r="735" spans="6:8" x14ac:dyDescent="0.25">
      <c r="F735" s="5"/>
      <c r="G735" s="5"/>
      <c r="H735" s="5"/>
    </row>
    <row r="736" spans="6:8" x14ac:dyDescent="0.25">
      <c r="F736" s="5"/>
      <c r="G736" s="5"/>
      <c r="H736" s="5"/>
    </row>
    <row r="737" spans="6:8" x14ac:dyDescent="0.25">
      <c r="F737" s="5"/>
      <c r="G737" s="5"/>
      <c r="H737" s="5"/>
    </row>
    <row r="738" spans="6:8" x14ac:dyDescent="0.25">
      <c r="F738" s="5"/>
      <c r="G738" s="5"/>
      <c r="H738" s="5"/>
    </row>
    <row r="739" spans="6:8" x14ac:dyDescent="0.25">
      <c r="F739" s="5"/>
      <c r="G739" s="5"/>
      <c r="H739" s="5"/>
    </row>
    <row r="740" spans="6:8" x14ac:dyDescent="0.25">
      <c r="F740" s="5"/>
      <c r="G740" s="5"/>
      <c r="H740" s="5"/>
    </row>
    <row r="741" spans="6:8" x14ac:dyDescent="0.25">
      <c r="F741" s="5"/>
      <c r="G741" s="5"/>
      <c r="H741" s="5"/>
    </row>
    <row r="742" spans="6:8" x14ac:dyDescent="0.25">
      <c r="F742" s="5"/>
      <c r="G742" s="5"/>
      <c r="H742" s="5"/>
    </row>
    <row r="743" spans="6:8" x14ac:dyDescent="0.25">
      <c r="F743" s="5"/>
      <c r="G743" s="5"/>
      <c r="H743" s="5"/>
    </row>
    <row r="744" spans="6:8" x14ac:dyDescent="0.25">
      <c r="F744" s="5"/>
      <c r="G744" s="5"/>
      <c r="H744" s="5"/>
    </row>
    <row r="745" spans="6:8" x14ac:dyDescent="0.25">
      <c r="F745" s="5"/>
      <c r="G745" s="5"/>
      <c r="H745" s="5"/>
    </row>
    <row r="746" spans="6:8" x14ac:dyDescent="0.25">
      <c r="F746" s="5"/>
      <c r="G746" s="5"/>
      <c r="H746" s="5"/>
    </row>
    <row r="747" spans="6:8" x14ac:dyDescent="0.25">
      <c r="F747" s="5"/>
      <c r="G747" s="5"/>
      <c r="H747" s="5"/>
    </row>
    <row r="748" spans="6:8" x14ac:dyDescent="0.25">
      <c r="F748" s="5"/>
      <c r="G748" s="5"/>
      <c r="H748" s="5"/>
    </row>
    <row r="749" spans="6:8" x14ac:dyDescent="0.25">
      <c r="F749" s="5"/>
      <c r="G749" s="5"/>
      <c r="H749" s="5"/>
    </row>
    <row r="750" spans="6:8" x14ac:dyDescent="0.25">
      <c r="F750" s="5"/>
      <c r="G750" s="5"/>
      <c r="H750" s="5"/>
    </row>
    <row r="751" spans="6:8" x14ac:dyDescent="0.25">
      <c r="F751" s="5"/>
      <c r="G751" s="5"/>
      <c r="H751" s="5"/>
    </row>
    <row r="752" spans="6:8" x14ac:dyDescent="0.25">
      <c r="F752" s="5"/>
      <c r="G752" s="5"/>
      <c r="H752" s="5"/>
    </row>
    <row r="753" spans="6:8" x14ac:dyDescent="0.25">
      <c r="F753" s="5"/>
      <c r="G753" s="5"/>
      <c r="H753" s="5"/>
    </row>
    <row r="754" spans="6:8" x14ac:dyDescent="0.25">
      <c r="F754" s="5"/>
      <c r="G754" s="5"/>
      <c r="H754" s="5"/>
    </row>
    <row r="755" spans="6:8" x14ac:dyDescent="0.25">
      <c r="F755" s="5"/>
      <c r="G755" s="5"/>
      <c r="H755" s="5"/>
    </row>
    <row r="756" spans="6:8" x14ac:dyDescent="0.25">
      <c r="F756" s="5"/>
      <c r="G756" s="5"/>
      <c r="H756" s="5"/>
    </row>
    <row r="757" spans="6:8" x14ac:dyDescent="0.25">
      <c r="F757" s="5"/>
      <c r="G757" s="5"/>
      <c r="H757" s="5"/>
    </row>
    <row r="758" spans="6:8" x14ac:dyDescent="0.25">
      <c r="F758" s="5"/>
      <c r="G758" s="5"/>
      <c r="H758" s="5"/>
    </row>
    <row r="759" spans="6:8" x14ac:dyDescent="0.25">
      <c r="F759" s="5"/>
      <c r="G759" s="5"/>
      <c r="H759" s="5"/>
    </row>
    <row r="760" spans="6:8" x14ac:dyDescent="0.25">
      <c r="F760" s="5"/>
      <c r="G760" s="5"/>
      <c r="H760" s="5"/>
    </row>
    <row r="761" spans="6:8" x14ac:dyDescent="0.25">
      <c r="F761" s="5"/>
      <c r="G761" s="5"/>
      <c r="H761" s="5"/>
    </row>
    <row r="762" spans="6:8" x14ac:dyDescent="0.25">
      <c r="F762" s="5"/>
      <c r="G762" s="5"/>
      <c r="H762" s="5"/>
    </row>
    <row r="763" spans="6:8" x14ac:dyDescent="0.25">
      <c r="F763" s="5"/>
      <c r="G763" s="5"/>
      <c r="H763" s="5"/>
    </row>
    <row r="764" spans="6:8" x14ac:dyDescent="0.25">
      <c r="F764" s="5"/>
      <c r="G764" s="5"/>
      <c r="H764" s="5"/>
    </row>
    <row r="765" spans="6:8" x14ac:dyDescent="0.25">
      <c r="F765" s="5"/>
      <c r="G765" s="5"/>
      <c r="H765" s="5"/>
    </row>
    <row r="766" spans="6:8" x14ac:dyDescent="0.25">
      <c r="F766" s="5"/>
      <c r="G766" s="5"/>
      <c r="H766" s="5"/>
    </row>
    <row r="767" spans="6:8" x14ac:dyDescent="0.25">
      <c r="F767" s="5"/>
      <c r="G767" s="5"/>
      <c r="H767" s="5"/>
    </row>
    <row r="768" spans="6:8" x14ac:dyDescent="0.25">
      <c r="F768" s="5"/>
      <c r="G768" s="5"/>
      <c r="H768" s="5"/>
    </row>
    <row r="769" spans="6:8" x14ac:dyDescent="0.25">
      <c r="F769" s="5"/>
      <c r="G769" s="5"/>
      <c r="H769" s="5"/>
    </row>
    <row r="770" spans="6:8" x14ac:dyDescent="0.25">
      <c r="F770" s="5"/>
      <c r="G770" s="5"/>
      <c r="H770" s="5"/>
    </row>
    <row r="771" spans="6:8" x14ac:dyDescent="0.25">
      <c r="F771" s="5"/>
      <c r="G771" s="5"/>
      <c r="H771" s="5"/>
    </row>
    <row r="772" spans="6:8" x14ac:dyDescent="0.25">
      <c r="F772" s="5"/>
      <c r="G772" s="5"/>
      <c r="H772" s="5"/>
    </row>
    <row r="773" spans="6:8" x14ac:dyDescent="0.25">
      <c r="F773" s="5"/>
      <c r="G773" s="5"/>
      <c r="H773" s="5"/>
    </row>
    <row r="774" spans="6:8" x14ac:dyDescent="0.25">
      <c r="F774" s="5"/>
      <c r="G774" s="5"/>
      <c r="H774" s="5"/>
    </row>
    <row r="775" spans="6:8" x14ac:dyDescent="0.25">
      <c r="F775" s="5"/>
      <c r="G775" s="5"/>
      <c r="H775" s="5"/>
    </row>
    <row r="776" spans="6:8" x14ac:dyDescent="0.25">
      <c r="F776" s="5"/>
      <c r="G776" s="5"/>
      <c r="H776" s="5"/>
    </row>
    <row r="777" spans="6:8" x14ac:dyDescent="0.25">
      <c r="F777" s="5"/>
      <c r="G777" s="5"/>
      <c r="H777" s="5"/>
    </row>
    <row r="778" spans="6:8" x14ac:dyDescent="0.25">
      <c r="F778" s="5"/>
      <c r="G778" s="5"/>
      <c r="H778" s="5"/>
    </row>
    <row r="779" spans="6:8" x14ac:dyDescent="0.25">
      <c r="F779" s="5"/>
      <c r="G779" s="5"/>
      <c r="H779" s="5"/>
    </row>
    <row r="780" spans="6:8" x14ac:dyDescent="0.25">
      <c r="F780" s="5"/>
      <c r="G780" s="5"/>
      <c r="H780" s="5"/>
    </row>
    <row r="781" spans="6:8" x14ac:dyDescent="0.25">
      <c r="F781" s="5"/>
      <c r="G781" s="5"/>
      <c r="H781" s="5"/>
    </row>
    <row r="782" spans="6:8" x14ac:dyDescent="0.25">
      <c r="F782" s="5"/>
      <c r="G782" s="5"/>
      <c r="H782" s="5"/>
    </row>
    <row r="783" spans="6:8" x14ac:dyDescent="0.25">
      <c r="F783" s="5"/>
      <c r="G783" s="5"/>
      <c r="H783" s="5"/>
    </row>
    <row r="784" spans="6:8" x14ac:dyDescent="0.25">
      <c r="F784" s="5"/>
      <c r="G784" s="5"/>
      <c r="H784" s="5"/>
    </row>
    <row r="785" spans="6:8" x14ac:dyDescent="0.25">
      <c r="F785" s="5"/>
      <c r="G785" s="5"/>
      <c r="H785" s="5"/>
    </row>
    <row r="786" spans="6:8" x14ac:dyDescent="0.25">
      <c r="F786" s="5"/>
      <c r="G786" s="5"/>
      <c r="H786" s="5"/>
    </row>
    <row r="787" spans="6:8" x14ac:dyDescent="0.25">
      <c r="F787" s="5"/>
      <c r="G787" s="5"/>
      <c r="H787" s="5"/>
    </row>
    <row r="788" spans="6:8" x14ac:dyDescent="0.25">
      <c r="F788" s="5"/>
      <c r="G788" s="5"/>
      <c r="H788" s="5"/>
    </row>
    <row r="789" spans="6:8" x14ac:dyDescent="0.25">
      <c r="F789" s="5"/>
      <c r="G789" s="5"/>
      <c r="H789" s="5"/>
    </row>
    <row r="790" spans="6:8" x14ac:dyDescent="0.25">
      <c r="F790" s="5"/>
      <c r="G790" s="5"/>
      <c r="H790" s="5"/>
    </row>
    <row r="791" spans="6:8" x14ac:dyDescent="0.25">
      <c r="F791" s="5"/>
      <c r="G791" s="5"/>
      <c r="H791" s="5"/>
    </row>
    <row r="792" spans="6:8" x14ac:dyDescent="0.25">
      <c r="F792" s="5"/>
      <c r="G792" s="5"/>
      <c r="H792" s="5"/>
    </row>
    <row r="793" spans="6:8" x14ac:dyDescent="0.25">
      <c r="F793" s="5"/>
      <c r="G793" s="5"/>
      <c r="H793" s="5"/>
    </row>
    <row r="794" spans="6:8" x14ac:dyDescent="0.25">
      <c r="F794" s="5"/>
      <c r="G794" s="5"/>
      <c r="H794" s="5"/>
    </row>
    <row r="795" spans="6:8" x14ac:dyDescent="0.25">
      <c r="F795" s="5"/>
      <c r="G795" s="5"/>
      <c r="H795" s="5"/>
    </row>
    <row r="796" spans="6:8" x14ac:dyDescent="0.25">
      <c r="F796" s="5"/>
      <c r="G796" s="5"/>
      <c r="H796" s="5"/>
    </row>
    <row r="797" spans="6:8" x14ac:dyDescent="0.25">
      <c r="F797" s="5"/>
      <c r="G797" s="5"/>
      <c r="H797" s="5"/>
    </row>
    <row r="798" spans="6:8" x14ac:dyDescent="0.25">
      <c r="F798" s="5"/>
      <c r="G798" s="5"/>
      <c r="H798" s="5"/>
    </row>
    <row r="799" spans="6:8" x14ac:dyDescent="0.25">
      <c r="F799" s="5"/>
      <c r="G799" s="5"/>
      <c r="H799" s="5"/>
    </row>
    <row r="800" spans="6:8" x14ac:dyDescent="0.25">
      <c r="F800" s="5"/>
      <c r="G800" s="5"/>
      <c r="H800" s="5"/>
    </row>
    <row r="801" spans="6:8" x14ac:dyDescent="0.25">
      <c r="F801" s="5"/>
      <c r="G801" s="5"/>
      <c r="H801" s="5"/>
    </row>
    <row r="802" spans="6:8" x14ac:dyDescent="0.25">
      <c r="F802" s="5"/>
      <c r="G802" s="5"/>
      <c r="H802" s="5"/>
    </row>
    <row r="803" spans="6:8" x14ac:dyDescent="0.25">
      <c r="F803" s="5"/>
      <c r="G803" s="5"/>
      <c r="H803" s="5"/>
    </row>
    <row r="804" spans="6:8" x14ac:dyDescent="0.25">
      <c r="F804" s="5"/>
      <c r="G804" s="5"/>
      <c r="H804" s="5"/>
    </row>
    <row r="805" spans="6:8" x14ac:dyDescent="0.25">
      <c r="F805" s="5"/>
      <c r="G805" s="5"/>
      <c r="H805" s="5"/>
    </row>
    <row r="806" spans="6:8" x14ac:dyDescent="0.25">
      <c r="F806" s="5"/>
      <c r="G806" s="5"/>
      <c r="H806" s="5"/>
    </row>
    <row r="807" spans="6:8" x14ac:dyDescent="0.25">
      <c r="F807" s="5"/>
      <c r="G807" s="5"/>
      <c r="H807" s="5"/>
    </row>
    <row r="808" spans="6:8" x14ac:dyDescent="0.25">
      <c r="F808" s="5"/>
      <c r="G808" s="5"/>
      <c r="H808" s="5"/>
    </row>
    <row r="809" spans="6:8" x14ac:dyDescent="0.25">
      <c r="F809" s="5"/>
      <c r="G809" s="5"/>
      <c r="H809" s="5"/>
    </row>
    <row r="810" spans="6:8" x14ac:dyDescent="0.25">
      <c r="F810" s="5"/>
      <c r="G810" s="5"/>
      <c r="H810" s="5"/>
    </row>
    <row r="811" spans="6:8" x14ac:dyDescent="0.25">
      <c r="F811" s="5"/>
      <c r="G811" s="5"/>
      <c r="H811" s="5"/>
    </row>
    <row r="812" spans="6:8" x14ac:dyDescent="0.25">
      <c r="F812" s="5"/>
      <c r="G812" s="5"/>
      <c r="H812" s="5"/>
    </row>
    <row r="813" spans="6:8" x14ac:dyDescent="0.25">
      <c r="F813" s="5"/>
      <c r="G813" s="5"/>
      <c r="H813" s="5"/>
    </row>
    <row r="814" spans="6:8" x14ac:dyDescent="0.25">
      <c r="F814" s="5"/>
      <c r="G814" s="5"/>
      <c r="H814" s="5"/>
    </row>
    <row r="815" spans="6:8" x14ac:dyDescent="0.25">
      <c r="F815" s="5"/>
      <c r="G815" s="5"/>
      <c r="H815" s="5"/>
    </row>
    <row r="816" spans="6:8" x14ac:dyDescent="0.25">
      <c r="F816" s="5"/>
      <c r="G816" s="5"/>
      <c r="H816" s="5"/>
    </row>
    <row r="817" spans="6:8" x14ac:dyDescent="0.25">
      <c r="F817" s="5"/>
      <c r="G817" s="5"/>
      <c r="H817" s="5"/>
    </row>
    <row r="818" spans="6:8" x14ac:dyDescent="0.25">
      <c r="F818" s="5"/>
      <c r="G818" s="5"/>
      <c r="H818" s="5"/>
    </row>
    <row r="819" spans="6:8" x14ac:dyDescent="0.25">
      <c r="F819" s="5"/>
      <c r="G819" s="5"/>
      <c r="H819" s="5"/>
    </row>
    <row r="820" spans="6:8" x14ac:dyDescent="0.25">
      <c r="F820" s="5"/>
      <c r="G820" s="5"/>
      <c r="H820" s="5"/>
    </row>
    <row r="821" spans="6:8" x14ac:dyDescent="0.25">
      <c r="F821" s="5"/>
      <c r="G821" s="5"/>
      <c r="H821" s="5"/>
    </row>
    <row r="822" spans="6:8" x14ac:dyDescent="0.25">
      <c r="F822" s="5"/>
      <c r="G822" s="5"/>
      <c r="H822" s="5"/>
    </row>
    <row r="823" spans="6:8" x14ac:dyDescent="0.25">
      <c r="F823" s="5"/>
      <c r="G823" s="5"/>
      <c r="H823" s="5"/>
    </row>
    <row r="824" spans="6:8" x14ac:dyDescent="0.25">
      <c r="F824" s="5"/>
      <c r="G824" s="5"/>
      <c r="H824" s="5"/>
    </row>
    <row r="825" spans="6:8" x14ac:dyDescent="0.25">
      <c r="F825" s="5"/>
      <c r="G825" s="5"/>
      <c r="H825" s="5"/>
    </row>
    <row r="826" spans="6:8" x14ac:dyDescent="0.25">
      <c r="F826" s="5"/>
      <c r="G826" s="5"/>
      <c r="H826" s="5"/>
    </row>
    <row r="827" spans="6:8" x14ac:dyDescent="0.25">
      <c r="F827" s="5"/>
      <c r="G827" s="5"/>
      <c r="H827" s="5"/>
    </row>
    <row r="828" spans="6:8" x14ac:dyDescent="0.25">
      <c r="F828" s="5"/>
      <c r="G828" s="5"/>
      <c r="H828" s="5"/>
    </row>
    <row r="829" spans="6:8" x14ac:dyDescent="0.25">
      <c r="F829" s="5"/>
      <c r="G829" s="5"/>
      <c r="H829" s="5"/>
    </row>
    <row r="830" spans="6:8" x14ac:dyDescent="0.25">
      <c r="F830" s="5"/>
      <c r="G830" s="5"/>
      <c r="H830" s="5"/>
    </row>
    <row r="831" spans="6:8" x14ac:dyDescent="0.25">
      <c r="F831" s="5"/>
      <c r="G831" s="5"/>
      <c r="H831" s="5"/>
    </row>
    <row r="832" spans="6:8" x14ac:dyDescent="0.25">
      <c r="F832" s="5"/>
      <c r="G832" s="5"/>
      <c r="H832" s="5"/>
    </row>
    <row r="833" spans="6:8" x14ac:dyDescent="0.25">
      <c r="F833" s="5"/>
      <c r="G833" s="5"/>
      <c r="H833" s="5"/>
    </row>
    <row r="834" spans="6:8" x14ac:dyDescent="0.25">
      <c r="F834" s="5"/>
      <c r="G834" s="5"/>
      <c r="H834" s="5"/>
    </row>
    <row r="835" spans="6:8" x14ac:dyDescent="0.25">
      <c r="F835" s="5"/>
      <c r="G835" s="5"/>
      <c r="H835" s="5"/>
    </row>
    <row r="836" spans="6:8" x14ac:dyDescent="0.25">
      <c r="F836" s="5"/>
      <c r="G836" s="5"/>
      <c r="H836" s="5"/>
    </row>
    <row r="837" spans="6:8" x14ac:dyDescent="0.25">
      <c r="F837" s="5"/>
      <c r="G837" s="5"/>
      <c r="H837" s="5"/>
    </row>
    <row r="838" spans="6:8" x14ac:dyDescent="0.25">
      <c r="F838" s="5"/>
      <c r="G838" s="5"/>
      <c r="H838" s="5"/>
    </row>
    <row r="839" spans="6:8" x14ac:dyDescent="0.25">
      <c r="F839" s="5"/>
      <c r="G839" s="5"/>
      <c r="H839" s="5"/>
    </row>
    <row r="840" spans="6:8" x14ac:dyDescent="0.25">
      <c r="F840" s="5"/>
      <c r="G840" s="5"/>
      <c r="H840" s="5"/>
    </row>
    <row r="841" spans="6:8" x14ac:dyDescent="0.25">
      <c r="F841" s="5"/>
      <c r="G841" s="5"/>
      <c r="H841" s="5"/>
    </row>
    <row r="842" spans="6:8" x14ac:dyDescent="0.25">
      <c r="F842" s="5"/>
      <c r="G842" s="5"/>
      <c r="H842" s="5"/>
    </row>
    <row r="843" spans="6:8" x14ac:dyDescent="0.25">
      <c r="F843" s="5"/>
      <c r="G843" s="5"/>
      <c r="H843" s="5"/>
    </row>
    <row r="844" spans="6:8" x14ac:dyDescent="0.25">
      <c r="F844" s="5"/>
      <c r="G844" s="5"/>
      <c r="H844" s="5"/>
    </row>
    <row r="845" spans="6:8" x14ac:dyDescent="0.25">
      <c r="F845" s="5"/>
      <c r="G845" s="5"/>
      <c r="H845" s="5"/>
    </row>
    <row r="846" spans="6:8" x14ac:dyDescent="0.25">
      <c r="F846" s="5"/>
      <c r="G846" s="5"/>
      <c r="H846" s="5"/>
    </row>
    <row r="847" spans="6:8" x14ac:dyDescent="0.25">
      <c r="F847" s="5"/>
      <c r="G847" s="5"/>
      <c r="H847" s="5"/>
    </row>
    <row r="848" spans="6:8" x14ac:dyDescent="0.25">
      <c r="F848" s="5"/>
      <c r="G848" s="5"/>
      <c r="H848" s="5"/>
    </row>
    <row r="849" spans="6:8" x14ac:dyDescent="0.25">
      <c r="F849" s="5"/>
      <c r="G849" s="5"/>
      <c r="H849" s="5"/>
    </row>
    <row r="850" spans="6:8" x14ac:dyDescent="0.25">
      <c r="F850" s="5"/>
      <c r="G850" s="5"/>
      <c r="H850" s="5"/>
    </row>
    <row r="851" spans="6:8" x14ac:dyDescent="0.25">
      <c r="F851" s="5"/>
      <c r="G851" s="5"/>
      <c r="H851" s="5"/>
    </row>
    <row r="852" spans="6:8" x14ac:dyDescent="0.25">
      <c r="F852" s="5"/>
      <c r="G852" s="5"/>
      <c r="H852" s="5"/>
    </row>
    <row r="853" spans="6:8" x14ac:dyDescent="0.25">
      <c r="F853" s="5"/>
      <c r="G853" s="5"/>
      <c r="H853" s="5"/>
    </row>
    <row r="854" spans="6:8" x14ac:dyDescent="0.25">
      <c r="F854" s="5"/>
      <c r="G854" s="5"/>
      <c r="H854" s="5"/>
    </row>
    <row r="855" spans="6:8" x14ac:dyDescent="0.25">
      <c r="F855" s="5"/>
      <c r="G855" s="5"/>
      <c r="H855" s="5"/>
    </row>
    <row r="856" spans="6:8" x14ac:dyDescent="0.25">
      <c r="F856" s="5"/>
      <c r="G856" s="5"/>
      <c r="H856" s="5"/>
    </row>
    <row r="857" spans="6:8" x14ac:dyDescent="0.25">
      <c r="F857" s="5"/>
      <c r="G857" s="5"/>
      <c r="H857" s="5"/>
    </row>
    <row r="858" spans="6:8" x14ac:dyDescent="0.25">
      <c r="F858" s="5"/>
      <c r="G858" s="5"/>
      <c r="H858" s="5"/>
    </row>
    <row r="859" spans="6:8" x14ac:dyDescent="0.25">
      <c r="F859" s="5"/>
      <c r="G859" s="5"/>
      <c r="H859" s="5"/>
    </row>
    <row r="860" spans="6:8" x14ac:dyDescent="0.25">
      <c r="F860" s="5"/>
      <c r="G860" s="5"/>
      <c r="H860" s="5"/>
    </row>
    <row r="861" spans="6:8" x14ac:dyDescent="0.25">
      <c r="F861" s="5"/>
      <c r="G861" s="5"/>
      <c r="H861" s="5"/>
    </row>
    <row r="862" spans="6:8" x14ac:dyDescent="0.25">
      <c r="F862" s="5"/>
      <c r="G862" s="5"/>
      <c r="H862" s="5"/>
    </row>
    <row r="863" spans="6:8" x14ac:dyDescent="0.25">
      <c r="F863" s="5"/>
      <c r="G863" s="5"/>
      <c r="H863" s="5"/>
    </row>
    <row r="864" spans="6:8" x14ac:dyDescent="0.25">
      <c r="F864" s="5"/>
      <c r="G864" s="5"/>
      <c r="H864" s="5"/>
    </row>
    <row r="865" spans="6:8" x14ac:dyDescent="0.25">
      <c r="F865" s="5"/>
      <c r="G865" s="5"/>
      <c r="H865" s="5"/>
    </row>
    <row r="866" spans="6:8" x14ac:dyDescent="0.25">
      <c r="F866" s="5"/>
      <c r="G866" s="5"/>
      <c r="H866" s="5"/>
    </row>
    <row r="867" spans="6:8" x14ac:dyDescent="0.25">
      <c r="F867" s="5"/>
      <c r="G867" s="5"/>
      <c r="H867" s="5"/>
    </row>
    <row r="868" spans="6:8" x14ac:dyDescent="0.25">
      <c r="F868" s="5"/>
      <c r="G868" s="5"/>
      <c r="H868" s="5"/>
    </row>
    <row r="869" spans="6:8" x14ac:dyDescent="0.25">
      <c r="F869" s="5"/>
      <c r="G869" s="5"/>
      <c r="H869" s="5"/>
    </row>
    <row r="870" spans="6:8" x14ac:dyDescent="0.25">
      <c r="F870" s="5"/>
      <c r="G870" s="5"/>
      <c r="H870" s="5"/>
    </row>
    <row r="871" spans="6:8" x14ac:dyDescent="0.25">
      <c r="F871" s="5"/>
      <c r="G871" s="5"/>
      <c r="H871" s="5"/>
    </row>
    <row r="872" spans="6:8" x14ac:dyDescent="0.25">
      <c r="F872" s="5"/>
      <c r="G872" s="5"/>
      <c r="H872" s="5"/>
    </row>
    <row r="873" spans="6:8" x14ac:dyDescent="0.25">
      <c r="F873" s="5"/>
      <c r="G873" s="5"/>
      <c r="H873" s="5"/>
    </row>
    <row r="874" spans="6:8" x14ac:dyDescent="0.25">
      <c r="F874" s="5"/>
      <c r="G874" s="5"/>
      <c r="H874" s="5"/>
    </row>
    <row r="875" spans="6:8" x14ac:dyDescent="0.25">
      <c r="F875" s="5"/>
      <c r="G875" s="5"/>
      <c r="H875" s="5"/>
    </row>
    <row r="876" spans="6:8" x14ac:dyDescent="0.25">
      <c r="F876" s="5"/>
      <c r="G876" s="5"/>
      <c r="H876" s="5"/>
    </row>
    <row r="877" spans="6:8" x14ac:dyDescent="0.25">
      <c r="F877" s="5"/>
      <c r="G877" s="5"/>
      <c r="H877" s="5"/>
    </row>
    <row r="878" spans="6:8" x14ac:dyDescent="0.25">
      <c r="F878" s="5"/>
      <c r="G878" s="5"/>
      <c r="H878" s="5"/>
    </row>
    <row r="879" spans="6:8" x14ac:dyDescent="0.25">
      <c r="F879" s="5"/>
      <c r="G879" s="5"/>
      <c r="H879" s="5"/>
    </row>
    <row r="880" spans="6:8" x14ac:dyDescent="0.25">
      <c r="F880" s="5"/>
      <c r="G880" s="5"/>
      <c r="H880" s="5"/>
    </row>
    <row r="881" spans="6:8" x14ac:dyDescent="0.25">
      <c r="F881" s="5"/>
      <c r="G881" s="5"/>
      <c r="H881" s="5"/>
    </row>
    <row r="882" spans="6:8" x14ac:dyDescent="0.25">
      <c r="F882" s="5"/>
      <c r="G882" s="5"/>
      <c r="H882" s="5"/>
    </row>
    <row r="883" spans="6:8" x14ac:dyDescent="0.25">
      <c r="F883" s="5"/>
      <c r="G883" s="5"/>
      <c r="H883" s="5"/>
    </row>
    <row r="884" spans="6:8" x14ac:dyDescent="0.25">
      <c r="F884" s="5"/>
      <c r="G884" s="5"/>
      <c r="H884" s="5"/>
    </row>
    <row r="885" spans="6:8" x14ac:dyDescent="0.25">
      <c r="F885" s="5"/>
      <c r="G885" s="5"/>
      <c r="H885" s="5"/>
    </row>
    <row r="886" spans="6:8" x14ac:dyDescent="0.25">
      <c r="F886" s="5"/>
      <c r="G886" s="5"/>
      <c r="H886" s="5"/>
    </row>
    <row r="887" spans="6:8" x14ac:dyDescent="0.25">
      <c r="F887" s="5"/>
      <c r="G887" s="5"/>
      <c r="H887" s="5"/>
    </row>
    <row r="888" spans="6:8" x14ac:dyDescent="0.25">
      <c r="F888" s="5"/>
      <c r="G888" s="5"/>
      <c r="H888" s="5"/>
    </row>
    <row r="889" spans="6:8" x14ac:dyDescent="0.25">
      <c r="F889" s="5"/>
      <c r="G889" s="5"/>
      <c r="H889" s="5"/>
    </row>
    <row r="890" spans="6:8" x14ac:dyDescent="0.25">
      <c r="F890" s="5"/>
      <c r="G890" s="5"/>
      <c r="H890" s="5"/>
    </row>
    <row r="891" spans="6:8" x14ac:dyDescent="0.25">
      <c r="F891" s="5"/>
      <c r="G891" s="5"/>
      <c r="H891" s="5"/>
    </row>
    <row r="892" spans="6:8" x14ac:dyDescent="0.25">
      <c r="F892" s="5"/>
      <c r="G892" s="5"/>
      <c r="H892" s="5"/>
    </row>
    <row r="893" spans="6:8" x14ac:dyDescent="0.25">
      <c r="F893" s="5"/>
      <c r="G893" s="5"/>
      <c r="H893" s="5"/>
    </row>
    <row r="894" spans="6:8" x14ac:dyDescent="0.25">
      <c r="F894" s="5"/>
      <c r="G894" s="5"/>
      <c r="H894" s="5"/>
    </row>
    <row r="895" spans="6:8" x14ac:dyDescent="0.25">
      <c r="F895" s="5"/>
      <c r="G895" s="5"/>
      <c r="H895" s="5"/>
    </row>
    <row r="896" spans="6:8" x14ac:dyDescent="0.25">
      <c r="F896" s="5"/>
      <c r="G896" s="5"/>
      <c r="H896" s="5"/>
    </row>
    <row r="897" spans="6:8" x14ac:dyDescent="0.25">
      <c r="F897" s="5"/>
      <c r="G897" s="5"/>
      <c r="H897" s="5"/>
    </row>
    <row r="898" spans="6:8" x14ac:dyDescent="0.25">
      <c r="F898" s="5"/>
      <c r="G898" s="5"/>
      <c r="H898" s="5"/>
    </row>
    <row r="899" spans="6:8" x14ac:dyDescent="0.25">
      <c r="F899" s="5"/>
      <c r="G899" s="5"/>
      <c r="H899" s="5"/>
    </row>
    <row r="900" spans="6:8" x14ac:dyDescent="0.25">
      <c r="F900" s="5"/>
      <c r="G900" s="5"/>
      <c r="H900" s="5"/>
    </row>
    <row r="901" spans="6:8" x14ac:dyDescent="0.25">
      <c r="F901" s="5"/>
      <c r="G901" s="5"/>
      <c r="H901" s="5"/>
    </row>
    <row r="902" spans="6:8" x14ac:dyDescent="0.25">
      <c r="F902" s="5"/>
      <c r="G902" s="5"/>
      <c r="H902" s="5"/>
    </row>
    <row r="903" spans="6:8" x14ac:dyDescent="0.25">
      <c r="F903" s="5"/>
      <c r="G903" s="5"/>
      <c r="H903" s="5"/>
    </row>
    <row r="904" spans="6:8" x14ac:dyDescent="0.25">
      <c r="F904" s="5"/>
      <c r="G904" s="5"/>
      <c r="H904" s="5"/>
    </row>
    <row r="905" spans="6:8" x14ac:dyDescent="0.25">
      <c r="F905" s="5"/>
      <c r="G905" s="5"/>
      <c r="H905" s="5"/>
    </row>
    <row r="906" spans="6:8" x14ac:dyDescent="0.25">
      <c r="F906" s="5"/>
      <c r="G906" s="5"/>
      <c r="H906" s="5"/>
    </row>
    <row r="907" spans="6:8" x14ac:dyDescent="0.25">
      <c r="F907" s="5"/>
      <c r="G907" s="5"/>
      <c r="H907" s="5"/>
    </row>
    <row r="908" spans="6:8" x14ac:dyDescent="0.25">
      <c r="F908" s="5"/>
      <c r="G908" s="5"/>
      <c r="H908" s="5"/>
    </row>
    <row r="909" spans="6:8" x14ac:dyDescent="0.25">
      <c r="F909" s="5"/>
      <c r="G909" s="5"/>
      <c r="H909" s="5"/>
    </row>
    <row r="910" spans="6:8" x14ac:dyDescent="0.25">
      <c r="F910" s="5"/>
      <c r="G910" s="5"/>
      <c r="H910" s="5"/>
    </row>
    <row r="911" spans="6:8" x14ac:dyDescent="0.25">
      <c r="F911" s="5"/>
      <c r="G911" s="5"/>
      <c r="H911" s="5"/>
    </row>
    <row r="912" spans="6:8" x14ac:dyDescent="0.25">
      <c r="F912" s="5"/>
      <c r="G912" s="5"/>
      <c r="H912" s="5"/>
    </row>
    <row r="913" spans="6:8" x14ac:dyDescent="0.25">
      <c r="F913" s="5"/>
      <c r="G913" s="5"/>
      <c r="H913" s="5"/>
    </row>
    <row r="914" spans="6:8" x14ac:dyDescent="0.25">
      <c r="F914" s="5"/>
      <c r="G914" s="5"/>
      <c r="H914" s="5"/>
    </row>
    <row r="915" spans="6:8" x14ac:dyDescent="0.25">
      <c r="F915" s="5"/>
      <c r="G915" s="5"/>
      <c r="H915" s="5"/>
    </row>
    <row r="916" spans="6:8" x14ac:dyDescent="0.25">
      <c r="F916" s="5"/>
      <c r="G916" s="5"/>
      <c r="H916" s="5"/>
    </row>
    <row r="917" spans="6:8" x14ac:dyDescent="0.25">
      <c r="F917" s="5"/>
      <c r="G917" s="5"/>
      <c r="H917" s="5"/>
    </row>
    <row r="918" spans="6:8" x14ac:dyDescent="0.25">
      <c r="F918" s="5"/>
      <c r="G918" s="5"/>
      <c r="H918" s="5"/>
    </row>
    <row r="919" spans="6:8" x14ac:dyDescent="0.25">
      <c r="F919" s="5"/>
      <c r="G919" s="5"/>
      <c r="H919" s="5"/>
    </row>
    <row r="920" spans="6:8" x14ac:dyDescent="0.25">
      <c r="F920" s="5"/>
      <c r="G920" s="5"/>
      <c r="H920" s="5"/>
    </row>
    <row r="921" spans="6:8" x14ac:dyDescent="0.25">
      <c r="F921" s="5"/>
      <c r="G921" s="5"/>
      <c r="H921" s="5"/>
    </row>
    <row r="922" spans="6:8" x14ac:dyDescent="0.25">
      <c r="F922" s="5"/>
      <c r="G922" s="5"/>
      <c r="H922" s="5"/>
    </row>
    <row r="923" spans="6:8" x14ac:dyDescent="0.25">
      <c r="F923" s="5"/>
      <c r="G923" s="5"/>
      <c r="H923" s="5"/>
    </row>
    <row r="924" spans="6:8" x14ac:dyDescent="0.25">
      <c r="F924" s="5"/>
      <c r="G924" s="5"/>
      <c r="H924" s="5"/>
    </row>
    <row r="925" spans="6:8" x14ac:dyDescent="0.25">
      <c r="F925" s="5"/>
      <c r="G925" s="5"/>
      <c r="H925" s="5"/>
    </row>
    <row r="926" spans="6:8" x14ac:dyDescent="0.25">
      <c r="F926" s="5"/>
      <c r="G926" s="5"/>
      <c r="H926" s="5"/>
    </row>
    <row r="927" spans="6:8" x14ac:dyDescent="0.25">
      <c r="F927" s="5"/>
      <c r="G927" s="5"/>
      <c r="H927" s="5"/>
    </row>
    <row r="928" spans="6:8" x14ac:dyDescent="0.25">
      <c r="F928" s="5"/>
      <c r="G928" s="5"/>
      <c r="H928" s="5"/>
    </row>
    <row r="929" spans="6:8" x14ac:dyDescent="0.25">
      <c r="F929" s="5"/>
      <c r="G929" s="5"/>
      <c r="H929" s="5"/>
    </row>
    <row r="930" spans="6:8" x14ac:dyDescent="0.25">
      <c r="F930" s="5"/>
      <c r="G930" s="5"/>
      <c r="H930" s="5"/>
    </row>
    <row r="931" spans="6:8" x14ac:dyDescent="0.25">
      <c r="F931" s="5"/>
      <c r="G931" s="5"/>
      <c r="H931" s="5"/>
    </row>
    <row r="932" spans="6:8" x14ac:dyDescent="0.25">
      <c r="F932" s="5"/>
      <c r="G932" s="5"/>
      <c r="H932" s="5"/>
    </row>
    <row r="933" spans="6:8" x14ac:dyDescent="0.25">
      <c r="F933" s="5"/>
      <c r="G933" s="5"/>
      <c r="H933" s="5"/>
    </row>
    <row r="934" spans="6:8" x14ac:dyDescent="0.25">
      <c r="F934" s="5"/>
      <c r="G934" s="5"/>
      <c r="H934" s="5"/>
    </row>
    <row r="935" spans="6:8" x14ac:dyDescent="0.25">
      <c r="F935" s="5"/>
      <c r="G935" s="5"/>
      <c r="H935" s="5"/>
    </row>
    <row r="936" spans="6:8" x14ac:dyDescent="0.25">
      <c r="F936" s="5"/>
      <c r="G936" s="5"/>
      <c r="H936" s="5"/>
    </row>
    <row r="937" spans="6:8" x14ac:dyDescent="0.25">
      <c r="F937" s="5"/>
      <c r="G937" s="5"/>
      <c r="H937" s="5"/>
    </row>
    <row r="938" spans="6:8" x14ac:dyDescent="0.25">
      <c r="F938" s="5"/>
      <c r="G938" s="5"/>
      <c r="H938" s="5"/>
    </row>
    <row r="939" spans="6:8" x14ac:dyDescent="0.25">
      <c r="F939" s="5"/>
      <c r="G939" s="5"/>
      <c r="H939" s="5"/>
    </row>
    <row r="940" spans="6:8" x14ac:dyDescent="0.25">
      <c r="F940" s="5"/>
      <c r="G940" s="5"/>
      <c r="H940" s="5"/>
    </row>
    <row r="941" spans="6:8" x14ac:dyDescent="0.25">
      <c r="F941" s="5"/>
      <c r="G941" s="5"/>
      <c r="H941" s="5"/>
    </row>
    <row r="942" spans="6:8" x14ac:dyDescent="0.25">
      <c r="F942" s="5"/>
      <c r="G942" s="5"/>
      <c r="H942" s="5"/>
    </row>
    <row r="943" spans="6:8" x14ac:dyDescent="0.25">
      <c r="F943" s="5"/>
      <c r="G943" s="5"/>
      <c r="H943" s="5"/>
    </row>
    <row r="944" spans="6:8" x14ac:dyDescent="0.25">
      <c r="F944" s="5"/>
      <c r="G944" s="5"/>
      <c r="H944" s="5"/>
    </row>
    <row r="945" spans="6:8" x14ac:dyDescent="0.25">
      <c r="F945" s="5"/>
      <c r="G945" s="5"/>
      <c r="H945" s="5"/>
    </row>
    <row r="946" spans="6:8" x14ac:dyDescent="0.25">
      <c r="F946" s="5"/>
      <c r="G946" s="5"/>
      <c r="H946" s="5"/>
    </row>
    <row r="947" spans="6:8" x14ac:dyDescent="0.25">
      <c r="F947" s="5"/>
      <c r="G947" s="5"/>
      <c r="H947" s="5"/>
    </row>
    <row r="948" spans="6:8" x14ac:dyDescent="0.25">
      <c r="F948" s="5"/>
      <c r="G948" s="5"/>
      <c r="H948" s="5"/>
    </row>
    <row r="949" spans="6:8" x14ac:dyDescent="0.25">
      <c r="F949" s="5"/>
      <c r="G949" s="5"/>
      <c r="H949" s="5"/>
    </row>
    <row r="950" spans="6:8" x14ac:dyDescent="0.25">
      <c r="F950" s="5"/>
      <c r="G950" s="5"/>
      <c r="H950" s="5"/>
    </row>
  </sheetData>
  <mergeCells count="45">
    <mergeCell ref="AI13:AL14"/>
    <mergeCell ref="AM13:AN14"/>
    <mergeCell ref="AI15:AL16"/>
    <mergeCell ref="AM15:AN16"/>
    <mergeCell ref="AN4:AN6"/>
    <mergeCell ref="AO4:AO6"/>
    <mergeCell ref="AP4:AP6"/>
    <mergeCell ref="AL4:AL6"/>
    <mergeCell ref="A1:AF1"/>
    <mergeCell ref="AI4:AI6"/>
    <mergeCell ref="AJ4:AJ6"/>
    <mergeCell ref="AK4:AK6"/>
    <mergeCell ref="AM4:AM6"/>
    <mergeCell ref="AI3:AP3"/>
    <mergeCell ref="AR3:AV3"/>
    <mergeCell ref="AR5:AR6"/>
    <mergeCell ref="AS5:AT5"/>
    <mergeCell ref="AU5:AV5"/>
    <mergeCell ref="AI19:AL20"/>
    <mergeCell ref="AM19:AN20"/>
    <mergeCell ref="AI17:AL18"/>
    <mergeCell ref="AM17:AN18"/>
    <mergeCell ref="AR4:AV4"/>
    <mergeCell ref="AR11:AV11"/>
    <mergeCell ref="AR12:AV12"/>
    <mergeCell ref="AM11:AN12"/>
    <mergeCell ref="AI11:AL12"/>
    <mergeCell ref="AR13:AR14"/>
    <mergeCell ref="AS13:AT13"/>
    <mergeCell ref="AU13:AV13"/>
    <mergeCell ref="AI21:AL22"/>
    <mergeCell ref="AM21:AN22"/>
    <mergeCell ref="AI23:AL24"/>
    <mergeCell ref="AM23:AN24"/>
    <mergeCell ref="AI25:AL26"/>
    <mergeCell ref="AM25:AN26"/>
    <mergeCell ref="AI27:AL28"/>
    <mergeCell ref="AM27:AN28"/>
    <mergeCell ref="AI29:AL30"/>
    <mergeCell ref="AM29:AN30"/>
    <mergeCell ref="AI35:AN38"/>
    <mergeCell ref="AI31:AL32"/>
    <mergeCell ref="AM31:AN32"/>
    <mergeCell ref="AI33:AL34"/>
    <mergeCell ref="AM33:AN34"/>
  </mergeCells>
  <phoneticPr fontId="60" type="noConversion"/>
  <conditionalFormatting sqref="AJ7:AP9">
    <cfRule type="expression" dxfId="153" priority="86">
      <formula>MOD(ROW(),2)</formula>
    </cfRule>
  </conditionalFormatting>
  <conditionalFormatting sqref="AR18:AR36 AS15:AV17 AS27:AV36 AS18:AU26">
    <cfRule type="expression" dxfId="152" priority="27" stopIfTrue="1">
      <formula>MOD(ROW(),2)</formula>
    </cfRule>
  </conditionalFormatting>
  <conditionalFormatting sqref="AI13 AM13 AI15 AM15 AI17 AM17 AI19 AM19 AI21 AM21 AI23 AM23 AI25 AM25 AI27 AM27 AI29 AM29 AI31 AM31">
    <cfRule type="expression" dxfId="151" priority="25" stopIfTrue="1">
      <formula>MOD(ROW(),2)</formula>
    </cfRule>
  </conditionalFormatting>
  <conditionalFormatting sqref="AI33">
    <cfRule type="expression" dxfId="150" priority="24" stopIfTrue="1">
      <formula>MOD(ROW(),2)</formula>
    </cfRule>
  </conditionalFormatting>
  <conditionalFormatting sqref="AM33">
    <cfRule type="expression" dxfId="149" priority="23" stopIfTrue="1">
      <formula>MOD(ROW(),2)</formula>
    </cfRule>
  </conditionalFormatting>
  <conditionalFormatting sqref="AB5:AB152 AD3:AD152">
    <cfRule type="containsText" dxfId="148" priority="7" operator="containsText" text="N">
      <formula>NOT(ISERROR(SEARCH("N",AB3)))</formula>
    </cfRule>
  </conditionalFormatting>
  <conditionalFormatting sqref="D1:D1048576">
    <cfRule type="timePeriod" dxfId="147" priority="6" timePeriod="last7Days">
      <formula>AND(TODAY()-FLOOR(D1,1)&lt;=6,FLOOR(D1,1)&lt;=TODAY())</formula>
    </cfRule>
  </conditionalFormatting>
  <conditionalFormatting sqref="A3:AG152">
    <cfRule type="expression" dxfId="146" priority="179">
      <formula>$W3="Monitor"</formula>
    </cfRule>
    <cfRule type="expression" dxfId="145" priority="180">
      <formula>$W3="IA"</formula>
    </cfRule>
    <cfRule type="expression" dxfId="144" priority="181">
      <formula>$W3="Extended IA"</formula>
    </cfRule>
    <cfRule type="expression" dxfId="143" priority="182">
      <formula>$W3="Contained"</formula>
    </cfRule>
    <cfRule type="expression" dxfId="142" priority="183">
      <formula>$W3="Controlled"</formula>
    </cfRule>
    <cfRule type="expression" dxfId="141" priority="184">
      <formula>$W3="Patrol"</formula>
    </cfRule>
    <cfRule type="expression" dxfId="140" priority="185">
      <formula>$W3="Out"</formula>
    </cfRule>
  </conditionalFormatting>
  <conditionalFormatting sqref="AV18:AV26">
    <cfRule type="expression" dxfId="139" priority="2" stopIfTrue="1">
      <formula>MOD(ROW(),2)</formula>
    </cfRule>
  </conditionalFormatting>
  <conditionalFormatting sqref="AV18:AV26">
    <cfRule type="expression" dxfId="138" priority="1" stopIfTrue="1">
      <formula>MOD(ROW(),2)</formula>
    </cfRule>
  </conditionalFormatting>
  <dataValidations count="5">
    <dataValidation allowBlank="1" showInputMessage="1" showErrorMessage="1" promptTitle="New Acres Updated" prompt="After SIT, CAD, and YTD have been updated with current acreage total yellow headed columns can be replaced with new acreage updates as needed." sqref="AE2" xr:uid="{741410BC-F074-4670-978A-0EF8762C7272}"/>
    <dataValidation allowBlank="1" showErrorMessage="1" promptTitle="SIT Data Entered" prompt="Identify data entered in SIT using the same format as in SIT along with the date &amp; your initials (e.g. 1 LNF H for 2.34 LNF H acres; 4/10 HP)" sqref="AB2" xr:uid="{28125787-18E6-48C1-8406-AB1A5C19716E}"/>
    <dataValidation allowBlank="1" showInputMessage="1" showErrorMessage="1" promptTitle="Additional Acres" prompt="Identify additional acreage and date. _x000a_Esnsure total acres is accurate in spreadsheet." sqref="AC2" xr:uid="{8B2A41D0-8234-4AEB-97A5-DDB951AED491}"/>
    <dataValidation allowBlank="1" showErrorMessage="1" promptTitle="Additional Acres" prompt="Identify additional acreage and date. _x000a_Esnsure total acres is accurate in spreadsheet." sqref="AD2" xr:uid="{0A7753E5-C273-4318-AFF5-1F7E913CBDE7}"/>
    <dataValidation allowBlank="1" showInputMessage="1" showErrorMessage="1" sqref="A153:AF274" xr:uid="{62A3B3EA-8DB0-4747-8435-FAD55BFD7D18}"/>
  </dataValidations>
  <printOptions gridLines="1"/>
  <pageMargins left="0.25" right="0.25" top="0.75" bottom="0.75" header="0.3" footer="0.3"/>
  <pageSetup scale="26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 xr:uid="{00000000-0002-0000-0200-000002000000}">
          <x14:formula1>
            <xm:f>'Picklist Tables'!$E$5:$E$6</xm:f>
          </x14:formula1>
          <xm:sqref>V3:V152</xm:sqref>
        </x14:dataValidation>
        <x14:dataValidation type="list" allowBlank="1" showErrorMessage="1" xr:uid="{00000000-0002-0000-0200-000000000000}">
          <x14:formula1>
            <xm:f>'Picklist Tables'!$H$5:$H$6</xm:f>
          </x14:formula1>
          <xm:sqref>AB3:AB4 AA3:AA152</xm:sqref>
        </x14:dataValidation>
        <x14:dataValidation type="list" allowBlank="1" showErrorMessage="1" xr:uid="{00000000-0002-0000-0200-000001000000}">
          <x14:formula1>
            <xm:f>'Picklist Tables'!$J$10:$J$12</xm:f>
          </x14:formula1>
          <xm:sqref>B3:B152</xm:sqref>
        </x14:dataValidation>
        <x14:dataValidation type="list" allowBlank="1" showErrorMessage="1" xr:uid="{00000000-0002-0000-0200-000003000000}">
          <x14:formula1>
            <xm:f>'Picklist Tables'!$B$13:$B$19</xm:f>
          </x14:formula1>
          <xm:sqref>W3:W152</xm:sqref>
        </x14:dataValidation>
        <x14:dataValidation type="list" allowBlank="1" xr:uid="{E6523CC4-368E-4058-8ADB-7C231D42D7C4}">
          <x14:formula1>
            <xm:f>'Picklist Tables'!$H$5:$H$6</xm:f>
          </x14:formula1>
          <xm:sqref>AG3:AG152</xm:sqref>
        </x14:dataValidation>
        <x14:dataValidation type="list" allowBlank="1" showInputMessage="1" showErrorMessage="1" xr:uid="{90991B3C-8DB1-49A9-A8C4-08EE1D4B4965}">
          <x14:formula1>
            <xm:f>'Picklist Tables'!$K$17:$K$25</xm:f>
          </x14:formula1>
          <xm:sqref>M3:M152</xm:sqref>
        </x14:dataValidation>
        <x14:dataValidation type="list" allowBlank="1" showInputMessage="1" showErrorMessage="1" xr:uid="{1C8DFEA9-F8D3-46A5-9E24-DC013A412192}">
          <x14:formula1>
            <xm:f>'Picklist Tables'!$H$5:$H$6</xm:f>
          </x14:formula1>
          <xm:sqref>G3:G152 AB5:AB152 AD3:AD152</xm:sqref>
        </x14:dataValidation>
        <x14:dataValidation type="list" allowBlank="1" showInputMessage="1" showErrorMessage="1" xr:uid="{1FF0F53D-B936-4277-83E5-619C1AFF7D8D}">
          <x14:formula1>
            <xm:f>'Picklist Tables'!$M$5:$M$17</xm:f>
          </x14:formula1>
          <xm:sqref>H3:H152</xm:sqref>
        </x14:dataValidation>
        <x14:dataValidation type="list" allowBlank="1" showInputMessage="1" showErrorMessage="1" xr:uid="{EE22DEEB-DD37-42CA-A8F8-6D62230E18D9}">
          <x14:formula1>
            <xm:f>'Picklist Tables'!$M$9:$M$31</xm:f>
          </x14:formula1>
          <xm:sqref>R3:R152 P3:P152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Y193"/>
  <sheetViews>
    <sheetView zoomScaleNormal="100" workbookViewId="0">
      <pane xSplit="3" ySplit="2" topLeftCell="D3" activePane="bottomRight" state="frozen"/>
      <selection pane="topRight" activeCell="F1" sqref="F1"/>
      <selection pane="bottomLeft" activeCell="A4" sqref="A4"/>
      <selection pane="bottomRight" activeCell="E58" sqref="E58"/>
    </sheetView>
  </sheetViews>
  <sheetFormatPr defaultColWidth="14.453125" defaultRowHeight="12.5" x14ac:dyDescent="0.25"/>
  <cols>
    <col min="1" max="1" width="9.54296875" style="6" customWidth="1"/>
    <col min="2" max="2" width="16.7265625" style="6" bestFit="1" customWidth="1"/>
    <col min="3" max="3" width="16.453125" style="6" bestFit="1" customWidth="1"/>
    <col min="4" max="4" width="24.1796875" style="6" customWidth="1"/>
    <col min="5" max="5" width="17.1796875" style="6" customWidth="1"/>
    <col min="6" max="6" width="12.81640625" style="6" customWidth="1"/>
    <col min="7" max="7" width="22.54296875" style="6" customWidth="1"/>
    <col min="8" max="8" width="16" style="6" customWidth="1"/>
    <col min="9" max="10" width="11.54296875" style="6" customWidth="1"/>
    <col min="11" max="12" width="13.1796875" style="6" customWidth="1"/>
    <col min="13" max="13" width="24.54296875" style="6" customWidth="1"/>
    <col min="14" max="14" width="13.1796875" style="6" customWidth="1"/>
    <col min="15" max="15" width="6.453125" style="6" hidden="1" customWidth="1"/>
    <col min="16" max="16" width="7.81640625" style="6" hidden="1" customWidth="1"/>
    <col min="17" max="17" width="7.81640625" style="6" customWidth="1"/>
    <col min="18" max="18" width="14.1796875" style="8" hidden="1" customWidth="1"/>
    <col min="19" max="19" width="9.54296875" style="6" hidden="1" customWidth="1"/>
    <col min="20" max="20" width="19.7265625" style="6" hidden="1" customWidth="1"/>
    <col min="21" max="21" width="19.81640625" style="6" hidden="1" customWidth="1"/>
    <col min="22" max="22" width="13" style="6" customWidth="1"/>
    <col min="23" max="23" width="10.54296875" style="6" hidden="1" customWidth="1"/>
    <col min="24" max="24" width="39.54296875" style="6" hidden="1" customWidth="1"/>
    <col min="25" max="25" width="19.453125" style="6" hidden="1" customWidth="1"/>
    <col min="26" max="26" width="30.1796875" style="6" hidden="1" customWidth="1"/>
    <col min="27" max="27" width="17.81640625" style="6" hidden="1" customWidth="1"/>
    <col min="28" max="28" width="10.81640625" style="8" hidden="1" customWidth="1"/>
    <col min="29" max="29" width="2.453125" style="6" customWidth="1"/>
    <col min="30" max="30" width="21.453125" style="44" hidden="1" customWidth="1"/>
    <col min="31" max="31" width="10.54296875" style="44" hidden="1" customWidth="1"/>
    <col min="32" max="32" width="10.54296875" style="6" hidden="1" customWidth="1"/>
    <col min="33" max="33" width="9" style="6" hidden="1" customWidth="1"/>
    <col min="34" max="34" width="8.81640625" style="6" hidden="1" customWidth="1"/>
    <col min="35" max="35" width="9.1796875" style="6" hidden="1" customWidth="1"/>
    <col min="36" max="36" width="9.453125" style="6" hidden="1" customWidth="1"/>
    <col min="37" max="37" width="12.453125" style="6" hidden="1" customWidth="1"/>
    <col min="38" max="38" width="9" style="6" hidden="1" customWidth="1"/>
    <col min="39" max="39" width="3.453125" style="108" hidden="1" customWidth="1"/>
    <col min="40" max="40" width="0" style="108" hidden="1" customWidth="1"/>
    <col min="41" max="41" width="11.453125" style="108" hidden="1" customWidth="1"/>
    <col min="42" max="47" width="0" style="108" hidden="1" customWidth="1"/>
    <col min="48" max="50" width="9" style="6" hidden="1" customWidth="1"/>
    <col min="51" max="51" width="8.81640625" style="6" hidden="1" customWidth="1"/>
    <col min="52" max="52" width="7.81640625" style="6" hidden="1" customWidth="1"/>
    <col min="53" max="53" width="8.54296875" style="6" hidden="1" customWidth="1"/>
    <col min="54" max="54" width="8.453125" style="6" hidden="1" customWidth="1"/>
    <col min="55" max="55" width="10.453125" style="6" hidden="1" customWidth="1"/>
    <col min="56" max="56" width="6.81640625" style="6" hidden="1" customWidth="1"/>
    <col min="57" max="58" width="8.54296875" style="6" hidden="1" customWidth="1"/>
    <col min="59" max="59" width="2.453125" style="6" customWidth="1"/>
    <col min="60" max="60" width="22.7265625" style="6" customWidth="1"/>
    <col min="61" max="61" width="10.453125" style="6" customWidth="1"/>
    <col min="62" max="64" width="14.453125" style="6"/>
    <col min="65" max="65" width="3.1796875" style="6" customWidth="1"/>
    <col min="66" max="66" width="22" style="6" bestFit="1" customWidth="1"/>
    <col min="67" max="70" width="14.453125" style="6"/>
    <col min="71" max="71" width="3.1796875" style="6" customWidth="1"/>
    <col min="72" max="72" width="22" style="6" bestFit="1" customWidth="1"/>
    <col min="73" max="76" width="14.453125" style="6"/>
    <col min="77" max="77" width="3" style="6" customWidth="1"/>
    <col min="78" max="16384" width="14.453125" style="6"/>
  </cols>
  <sheetData>
    <row r="1" spans="1:77" ht="13" thickBot="1" x14ac:dyDescent="0.3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809"/>
      <c r="W1" s="809"/>
      <c r="X1" s="809"/>
      <c r="Y1" s="809"/>
      <c r="Z1" s="809"/>
      <c r="AA1" s="809"/>
      <c r="AB1" s="809"/>
      <c r="AC1" s="43"/>
    </row>
    <row r="2" spans="1:77" ht="60" customHeight="1" thickBot="1" x14ac:dyDescent="0.3">
      <c r="A2" s="205" t="s">
        <v>98</v>
      </c>
      <c r="B2" s="205" t="s">
        <v>20</v>
      </c>
      <c r="C2" s="205" t="s">
        <v>21</v>
      </c>
      <c r="D2" s="205" t="s">
        <v>434</v>
      </c>
      <c r="E2" s="205" t="s">
        <v>435</v>
      </c>
      <c r="F2" s="205" t="s">
        <v>436</v>
      </c>
      <c r="G2" s="205" t="s">
        <v>437</v>
      </c>
      <c r="H2" s="205" t="s">
        <v>438</v>
      </c>
      <c r="I2" s="205" t="s">
        <v>439</v>
      </c>
      <c r="J2" s="56" t="s">
        <v>440</v>
      </c>
      <c r="K2" s="56" t="s">
        <v>441</v>
      </c>
      <c r="L2" s="56" t="s">
        <v>442</v>
      </c>
      <c r="M2" s="56" t="s">
        <v>443</v>
      </c>
      <c r="N2" s="56" t="s">
        <v>444</v>
      </c>
      <c r="O2" s="205" t="s">
        <v>445</v>
      </c>
      <c r="P2" s="205" t="s">
        <v>36</v>
      </c>
      <c r="Q2" s="205" t="s">
        <v>37</v>
      </c>
      <c r="R2" s="205" t="s">
        <v>38</v>
      </c>
      <c r="S2" s="205" t="s">
        <v>39</v>
      </c>
      <c r="T2" s="206" t="s">
        <v>40</v>
      </c>
      <c r="U2" s="207" t="s">
        <v>135</v>
      </c>
      <c r="V2" s="208" t="s">
        <v>136</v>
      </c>
      <c r="W2" s="291" t="s">
        <v>137</v>
      </c>
      <c r="X2" s="91" t="s">
        <v>138</v>
      </c>
      <c r="Y2" s="91" t="s">
        <v>139</v>
      </c>
      <c r="Z2" s="155" t="s">
        <v>140</v>
      </c>
      <c r="AA2" s="207" t="s">
        <v>141</v>
      </c>
      <c r="AB2" s="207" t="s">
        <v>142</v>
      </c>
      <c r="AC2" s="45"/>
      <c r="AM2" s="8"/>
      <c r="AN2" s="6"/>
      <c r="AO2" s="6"/>
      <c r="AP2" s="6"/>
      <c r="AQ2" s="6"/>
      <c r="AR2" s="6"/>
      <c r="AS2" s="6"/>
      <c r="AT2" s="6"/>
      <c r="AU2" s="6"/>
    </row>
    <row r="3" spans="1:77" ht="16" thickBot="1" x14ac:dyDescent="0.3">
      <c r="A3" s="58">
        <v>45023</v>
      </c>
      <c r="B3" s="57" t="s">
        <v>446</v>
      </c>
      <c r="C3" s="57">
        <v>200109</v>
      </c>
      <c r="D3" s="57" t="s">
        <v>220</v>
      </c>
      <c r="E3" s="354">
        <v>4.3</v>
      </c>
      <c r="F3" s="354">
        <v>4.3</v>
      </c>
      <c r="G3" s="354"/>
      <c r="H3" s="354"/>
      <c r="I3" s="93"/>
      <c r="J3" s="93"/>
      <c r="K3" s="93"/>
      <c r="L3" s="93"/>
      <c r="M3" s="93"/>
      <c r="N3" s="93"/>
      <c r="O3" s="233" t="str">
        <f>IF($E3&lt;=0, " ",IF($E3&lt;=0.25, "A",IF($E3&lt;10, "B",IF($E3&lt;100, "C", IF($E3&lt;300, "D",IF($E3&lt;1000, "E",IF($E3&lt;5000,"F",IF($E3&gt;=5000, "G"))))))))</f>
        <v>B</v>
      </c>
      <c r="P3" s="57" t="s">
        <v>43</v>
      </c>
      <c r="Q3" s="57" t="s">
        <v>47</v>
      </c>
      <c r="R3" s="57" t="s">
        <v>67</v>
      </c>
      <c r="S3" s="58">
        <v>45123</v>
      </c>
      <c r="T3" s="57">
        <v>903010</v>
      </c>
      <c r="U3" s="57" t="s">
        <v>107</v>
      </c>
      <c r="V3" s="57" t="s">
        <v>107</v>
      </c>
      <c r="W3" s="57" t="s">
        <v>107</v>
      </c>
      <c r="X3" s="57"/>
      <c r="Y3" s="57"/>
      <c r="Z3" s="57"/>
      <c r="AA3" s="57" t="s">
        <v>447</v>
      </c>
      <c r="AB3" s="57"/>
      <c r="AC3" s="12"/>
      <c r="AD3" s="817" t="s">
        <v>448</v>
      </c>
      <c r="AE3" s="818"/>
      <c r="AF3" s="818"/>
      <c r="AG3" s="818"/>
      <c r="AH3" s="818"/>
      <c r="AI3" s="818"/>
      <c r="AJ3" s="818"/>
      <c r="AK3" s="819"/>
      <c r="AM3" s="8"/>
      <c r="AN3" s="6"/>
      <c r="AO3" s="6"/>
      <c r="AP3" s="6"/>
      <c r="AQ3" s="6"/>
      <c r="AR3" s="6"/>
      <c r="AS3" s="6"/>
      <c r="AT3" s="6"/>
      <c r="AU3" s="6"/>
      <c r="BF3" s="8"/>
      <c r="BG3" s="440"/>
      <c r="BH3" s="790"/>
      <c r="BI3" s="787" t="s">
        <v>167</v>
      </c>
      <c r="BJ3" s="788"/>
      <c r="BK3" s="789" t="s">
        <v>168</v>
      </c>
      <c r="BL3" s="788"/>
      <c r="BM3" s="441"/>
      <c r="BN3" s="790"/>
      <c r="BO3" s="787" t="s">
        <v>167</v>
      </c>
      <c r="BP3" s="788"/>
      <c r="BQ3" s="789" t="s">
        <v>168</v>
      </c>
      <c r="BR3" s="788"/>
      <c r="BS3" s="441"/>
      <c r="BT3" s="792"/>
      <c r="BU3" s="787" t="s">
        <v>167</v>
      </c>
      <c r="BV3" s="788"/>
      <c r="BW3" s="787" t="s">
        <v>168</v>
      </c>
      <c r="BX3" s="788"/>
      <c r="BY3" s="442"/>
    </row>
    <row r="4" spans="1:77" ht="13.5" thickBot="1" x14ac:dyDescent="0.3">
      <c r="A4" s="61">
        <v>45109</v>
      </c>
      <c r="B4" s="60" t="s">
        <v>449</v>
      </c>
      <c r="C4" s="60">
        <v>200465</v>
      </c>
      <c r="D4" s="60" t="s">
        <v>220</v>
      </c>
      <c r="E4" s="62">
        <v>1</v>
      </c>
      <c r="F4" s="62">
        <v>1</v>
      </c>
      <c r="G4" s="62"/>
      <c r="H4" s="62"/>
      <c r="I4" s="94"/>
      <c r="J4" s="93"/>
      <c r="K4" s="93"/>
      <c r="L4" s="93"/>
      <c r="M4" s="93"/>
      <c r="N4" s="93"/>
      <c r="O4" s="234" t="str">
        <f>IF($E4&lt;=0, " ",IF($E4&lt;=0.25, "A",IF($E4&lt;10, "B",IF($E4&lt;100, "C", IF($E4&lt;300, "D",IF($E4&lt;1000, "E",IF($E4&lt;5000,"F",IF($E4&gt;=5000, "G"))))))))</f>
        <v>B</v>
      </c>
      <c r="P4" s="60" t="s">
        <v>43</v>
      </c>
      <c r="Q4" s="60" t="s">
        <v>47</v>
      </c>
      <c r="R4" s="60" t="s">
        <v>67</v>
      </c>
      <c r="S4" s="61">
        <v>45110</v>
      </c>
      <c r="T4" s="60" t="s">
        <v>1</v>
      </c>
      <c r="U4" s="60" t="s">
        <v>43</v>
      </c>
      <c r="V4" s="60" t="s">
        <v>107</v>
      </c>
      <c r="W4" s="60" t="s">
        <v>107</v>
      </c>
      <c r="X4" s="60"/>
      <c r="Y4" s="60"/>
      <c r="Z4" s="60"/>
      <c r="AA4" s="60"/>
      <c r="AB4" s="60"/>
      <c r="AC4" s="12"/>
      <c r="AD4" s="345"/>
      <c r="AE4" s="820" t="s">
        <v>450</v>
      </c>
      <c r="AF4" s="823" t="s">
        <v>451</v>
      </c>
      <c r="AG4" s="833" t="s">
        <v>452</v>
      </c>
      <c r="AH4" s="836" t="s">
        <v>453</v>
      </c>
      <c r="AI4" s="826" t="s">
        <v>454</v>
      </c>
      <c r="AJ4" s="829" t="s">
        <v>455</v>
      </c>
      <c r="AK4" s="832" t="s">
        <v>456</v>
      </c>
      <c r="AM4" s="8"/>
      <c r="AN4" s="6"/>
      <c r="AO4" s="6"/>
      <c r="AP4" s="6"/>
      <c r="AQ4" s="6"/>
      <c r="AR4" s="6"/>
      <c r="AS4" s="6"/>
      <c r="AT4" s="6"/>
      <c r="AU4" s="6"/>
      <c r="BB4" s="812" t="s">
        <v>457</v>
      </c>
      <c r="BC4" s="813"/>
      <c r="BD4" s="813"/>
      <c r="BE4" s="813"/>
      <c r="BF4" s="813"/>
      <c r="BG4" s="432"/>
      <c r="BH4" s="791"/>
      <c r="BI4" s="434" t="s">
        <v>172</v>
      </c>
      <c r="BJ4" s="435" t="s">
        <v>173</v>
      </c>
      <c r="BK4" s="449" t="s">
        <v>172</v>
      </c>
      <c r="BL4" s="435" t="s">
        <v>173</v>
      </c>
      <c r="BM4" s="431"/>
      <c r="BN4" s="791"/>
      <c r="BO4" s="434" t="s">
        <v>172</v>
      </c>
      <c r="BP4" s="435" t="s">
        <v>173</v>
      </c>
      <c r="BQ4" s="449" t="s">
        <v>172</v>
      </c>
      <c r="BR4" s="435" t="s">
        <v>173</v>
      </c>
      <c r="BS4" s="431"/>
      <c r="BT4" s="793"/>
      <c r="BU4" s="434" t="s">
        <v>172</v>
      </c>
      <c r="BV4" s="435" t="s">
        <v>173</v>
      </c>
      <c r="BW4" s="434" t="s">
        <v>172</v>
      </c>
      <c r="BX4" s="435" t="s">
        <v>173</v>
      </c>
      <c r="BY4" s="443"/>
    </row>
    <row r="5" spans="1:77" ht="16" thickBot="1" x14ac:dyDescent="0.3">
      <c r="A5" s="61">
        <v>45111</v>
      </c>
      <c r="B5" s="60" t="s">
        <v>458</v>
      </c>
      <c r="C5" s="60">
        <v>200475</v>
      </c>
      <c r="D5" s="60" t="s">
        <v>220</v>
      </c>
      <c r="E5" s="62">
        <v>0.1</v>
      </c>
      <c r="F5" s="62">
        <v>0.1</v>
      </c>
      <c r="G5" s="62"/>
      <c r="H5" s="62"/>
      <c r="I5" s="94"/>
      <c r="J5" s="93"/>
      <c r="K5" s="93"/>
      <c r="L5" s="93"/>
      <c r="M5" s="93"/>
      <c r="N5" s="93"/>
      <c r="O5" s="234" t="str">
        <f>IF($E5&lt;=0, " ",IF($E5&lt;=0.25, "A",IF($E5&lt;10, "B",IF($E5&lt;100, "C", IF($E5&lt;300, "D",IF($E5&lt;1000, "E",IF($E5&lt;5000,"F",IF($E5&gt;=5000, "G"))))))))</f>
        <v>A</v>
      </c>
      <c r="P5" s="60" t="s">
        <v>43</v>
      </c>
      <c r="Q5" s="60" t="s">
        <v>47</v>
      </c>
      <c r="R5" s="60" t="s">
        <v>67</v>
      </c>
      <c r="S5" s="61">
        <v>45111</v>
      </c>
      <c r="T5" s="60" t="s">
        <v>1</v>
      </c>
      <c r="U5" s="60" t="s">
        <v>43</v>
      </c>
      <c r="V5" s="60" t="s">
        <v>107</v>
      </c>
      <c r="W5" s="60" t="s">
        <v>107</v>
      </c>
      <c r="X5" s="60"/>
      <c r="Y5" s="60"/>
      <c r="Z5" s="60"/>
      <c r="AA5" s="60" t="s">
        <v>459</v>
      </c>
      <c r="AB5" s="60"/>
      <c r="AC5" s="12"/>
      <c r="AD5" s="346"/>
      <c r="AE5" s="821"/>
      <c r="AF5" s="824"/>
      <c r="AG5" s="834"/>
      <c r="AH5" s="837"/>
      <c r="AI5" s="827"/>
      <c r="AJ5" s="830"/>
      <c r="AK5" s="824"/>
      <c r="AM5" s="363"/>
      <c r="AN5" s="335"/>
      <c r="AO5" s="330"/>
      <c r="AP5" s="330"/>
      <c r="AQ5" s="330"/>
      <c r="AR5" s="330"/>
      <c r="AS5" s="330"/>
      <c r="AT5" s="330"/>
      <c r="AU5" s="331"/>
      <c r="BB5" s="814"/>
      <c r="BC5" s="815"/>
      <c r="BD5" s="815"/>
      <c r="BE5" s="815"/>
      <c r="BF5" s="815"/>
      <c r="BG5" s="432"/>
      <c r="BH5" s="456" t="s">
        <v>220</v>
      </c>
      <c r="BI5" s="450">
        <f>COUNTIFS($D$3:$D$147,$BH5,$V$3:$V$147,"Y",$Q$3:$Q$147,"H")</f>
        <v>4</v>
      </c>
      <c r="BJ5" s="451">
        <f>SUMIFS($F$3:$F$147,$D$3:$D$147,$BH5,$Q$3:$Q$147,"H",$V$3:$V$147,"Y")</f>
        <v>32.4</v>
      </c>
      <c r="BK5" s="450">
        <f>COUNTIFS($D$3:$D$147,$BH5,$V$3:$V$147,"Y",$Q$3:$Q$147,"L")</f>
        <v>0</v>
      </c>
      <c r="BL5" s="451">
        <f>SUMIFS($F$3:$F$147,$D$3:$D$147,$BH5,$Q$3:$Q$147,"L",$V$3:$V$147,"Y")</f>
        <v>0</v>
      </c>
      <c r="BM5" s="431"/>
      <c r="BN5" s="470" t="s">
        <v>227</v>
      </c>
      <c r="BO5" s="450">
        <f>COUNTIFS($D$3:$D$147,$BN5,$V$3:$V$147,"Y",$Q$3:$Q$147,"H")</f>
        <v>0</v>
      </c>
      <c r="BP5" s="451">
        <f>SUMIFS($F$3:$F$147,$D$3:$D$147,$BN5,$Q$3:$Q$147,"H",$V$3:$V$147,"Y")</f>
        <v>0</v>
      </c>
      <c r="BQ5" s="450">
        <f>COUNTIFS($D$3:$D$147,$BN5,$V$3:$V$147,"Y",$Q$3:$Q$147,"L")</f>
        <v>0</v>
      </c>
      <c r="BR5" s="451">
        <f>SUMIFS($F$3:$F$147,$D$3:$D$147,$BN5,$Q$3:$Q$147,"L",$V$3:$V$147,"Y")</f>
        <v>0</v>
      </c>
      <c r="BS5" s="431"/>
      <c r="BT5" s="456" t="s">
        <v>44</v>
      </c>
      <c r="BU5" s="450">
        <f>COUNTIFS($D$3:$D$147,$BT5,$V$3:$V$147,"Y",$Q$3:$Q$147,"H")</f>
        <v>0</v>
      </c>
      <c r="BV5" s="451">
        <f>SUMIFS($F$3:$F$147,$D$3:$D$147,$BT5,$Q$3:$Q$147,"H",$V$3:$V$147,"Y")</f>
        <v>0</v>
      </c>
      <c r="BW5" s="450">
        <f>COUNTIFS($D$3:$D$147,$BT5,$V$3:$V$147,"Y",$Q$3:$Q$147,"L")</f>
        <v>0</v>
      </c>
      <c r="BX5" s="451">
        <f>SUMIFS($F$3:$F$147,$D$3:$D$147,$BT5,$Q$3:$Q$147,"L",$V$3:$V$147,"Y")</f>
        <v>0</v>
      </c>
      <c r="BY5" s="443"/>
    </row>
    <row r="6" spans="1:77" ht="13.5" thickBot="1" x14ac:dyDescent="0.3">
      <c r="A6" s="61">
        <v>45137</v>
      </c>
      <c r="B6" s="60" t="s">
        <v>460</v>
      </c>
      <c r="C6" s="60">
        <v>200624</v>
      </c>
      <c r="D6" s="60" t="s">
        <v>220</v>
      </c>
      <c r="E6" s="62">
        <v>27</v>
      </c>
      <c r="F6" s="62">
        <v>27</v>
      </c>
      <c r="G6" s="62"/>
      <c r="H6" s="62"/>
      <c r="I6" s="94"/>
      <c r="J6" s="94"/>
      <c r="K6" s="94"/>
      <c r="L6" s="94"/>
      <c r="M6" s="94"/>
      <c r="N6" s="94"/>
      <c r="O6" s="235" t="str">
        <f>IF($E6&lt;=0, " ",IF($E6&lt;=0.25, "A",IF($E6&lt;10, "B",IF($E6&lt;100, "C", IF($E6&lt;300, "D",IF($E6&lt;1000, "E",IF($E6&lt;5000,"F",IF($E6&gt;=5000, "G"))))))))</f>
        <v>C</v>
      </c>
      <c r="P6" s="60" t="s">
        <v>43</v>
      </c>
      <c r="Q6" s="60" t="s">
        <v>47</v>
      </c>
      <c r="R6" s="60" t="s">
        <v>67</v>
      </c>
      <c r="S6" s="61">
        <v>45141</v>
      </c>
      <c r="T6" s="60" t="s">
        <v>461</v>
      </c>
      <c r="U6" s="60" t="s">
        <v>107</v>
      </c>
      <c r="V6" s="60" t="s">
        <v>107</v>
      </c>
      <c r="W6" s="60" t="s">
        <v>107</v>
      </c>
      <c r="X6" s="60" t="s">
        <v>462</v>
      </c>
      <c r="Y6" s="60"/>
      <c r="Z6" s="60" t="s">
        <v>463</v>
      </c>
      <c r="AA6" s="60"/>
      <c r="AB6" s="60"/>
      <c r="AC6" s="12"/>
      <c r="AD6" s="347"/>
      <c r="AE6" s="822"/>
      <c r="AF6" s="825"/>
      <c r="AG6" s="835"/>
      <c r="AH6" s="838"/>
      <c r="AI6" s="828"/>
      <c r="AJ6" s="831"/>
      <c r="AK6" s="825"/>
      <c r="AM6" s="363"/>
      <c r="AN6" s="795"/>
      <c r="AO6" s="801"/>
      <c r="AP6" s="802" t="s">
        <v>167</v>
      </c>
      <c r="AQ6" s="803"/>
      <c r="AR6" s="802" t="s">
        <v>168</v>
      </c>
      <c r="AS6" s="803"/>
      <c r="AT6" s="802" t="s">
        <v>464</v>
      </c>
      <c r="AU6" s="803"/>
      <c r="BB6" s="755" t="s">
        <v>166</v>
      </c>
      <c r="BC6" s="752" t="s">
        <v>167</v>
      </c>
      <c r="BD6" s="753"/>
      <c r="BE6" s="752" t="s">
        <v>168</v>
      </c>
      <c r="BF6" s="816"/>
      <c r="BG6" s="432"/>
      <c r="BH6" s="457" t="s">
        <v>222</v>
      </c>
      <c r="BI6" s="452" t="s">
        <v>1</v>
      </c>
      <c r="BJ6" s="121"/>
      <c r="BK6" s="452" t="s">
        <v>1</v>
      </c>
      <c r="BL6" s="121"/>
      <c r="BM6" s="431"/>
      <c r="BN6" s="471" t="s">
        <v>220</v>
      </c>
      <c r="BO6" s="452"/>
      <c r="BP6" s="121"/>
      <c r="BQ6" s="452"/>
      <c r="BR6" s="121"/>
      <c r="BS6" s="431"/>
      <c r="BT6" s="457" t="s">
        <v>220</v>
      </c>
      <c r="BU6" s="452"/>
      <c r="BV6" s="121"/>
      <c r="BW6" s="452"/>
      <c r="BX6" s="121"/>
      <c r="BY6" s="443"/>
    </row>
    <row r="7" spans="1:77" ht="13.5" thickBot="1" x14ac:dyDescent="0.3">
      <c r="A7" s="61"/>
      <c r="B7" s="60"/>
      <c r="C7" s="60"/>
      <c r="D7" s="60"/>
      <c r="E7" s="62"/>
      <c r="F7" s="62"/>
      <c r="G7" s="62"/>
      <c r="H7" s="62"/>
      <c r="I7" s="94"/>
      <c r="J7" s="93"/>
      <c r="K7" s="93"/>
      <c r="L7" s="93"/>
      <c r="M7" s="93"/>
      <c r="N7" s="93"/>
      <c r="O7" s="234"/>
      <c r="P7" s="60"/>
      <c r="Q7" s="60"/>
      <c r="R7" s="60"/>
      <c r="S7" s="61"/>
      <c r="T7" s="60"/>
      <c r="U7" s="60"/>
      <c r="V7" s="60"/>
      <c r="W7" s="60"/>
      <c r="X7" s="60"/>
      <c r="Y7" s="60"/>
      <c r="Z7" s="60"/>
      <c r="AA7" s="60"/>
      <c r="AB7" s="60"/>
      <c r="AC7" s="12"/>
      <c r="AD7" s="209" t="s">
        <v>167</v>
      </c>
      <c r="AE7" s="210">
        <f>COUNTIFS($Q3:$Q147, "H", $V$3:$V$147, "Y")</f>
        <v>4</v>
      </c>
      <c r="AF7" s="212">
        <f>SUMIFS($E$3:$E$147,$Q3:$Q147, "h", $V$3:$V$147, "Y")</f>
        <v>32.4</v>
      </c>
      <c r="AG7" s="356">
        <f>COUNTIFS(F3:F147,"&lt;&gt;",Table3[Will fire be counted
for SIT?],"Y",Table3[Cause],"H")</f>
        <v>4</v>
      </c>
      <c r="AH7" s="348">
        <f>SUMIFS(Table3[County 
OWNED
Acres],Table3[Will fire be counted
for SIT?],"Y",Table3[Cause],"H")</f>
        <v>32.4</v>
      </c>
      <c r="AI7" s="351">
        <f>SUMIFS($I$3:$I$147,$Q3:$Q147, "h", $V$3:$V$147, "Y")</f>
        <v>0</v>
      </c>
      <c r="AJ7" s="211" t="e">
        <f>SUMIFS(#REF!,$Q3:$Q147, "H", $V$3:$V$147, "Y")</f>
        <v>#REF!</v>
      </c>
      <c r="AK7" s="212">
        <f>SUMIFS($K$3:$K$147,$Q3:$Q147, "H", $V$3:$V$147, "Y")</f>
        <v>0</v>
      </c>
      <c r="AM7" s="363"/>
      <c r="AN7" s="791"/>
      <c r="AO7" s="793"/>
      <c r="AP7" s="325" t="s">
        <v>172</v>
      </c>
      <c r="AQ7" s="326" t="s">
        <v>173</v>
      </c>
      <c r="AR7" s="325" t="s">
        <v>172</v>
      </c>
      <c r="AS7" s="326" t="s">
        <v>173</v>
      </c>
      <c r="AT7" s="325" t="s">
        <v>172</v>
      </c>
      <c r="AU7" s="326" t="s">
        <v>173</v>
      </c>
      <c r="BB7" s="756"/>
      <c r="BC7" s="168" t="s">
        <v>172</v>
      </c>
      <c r="BD7" s="169" t="s">
        <v>173</v>
      </c>
      <c r="BE7" s="168" t="s">
        <v>172</v>
      </c>
      <c r="BF7" s="436" t="s">
        <v>173</v>
      </c>
      <c r="BG7" s="432"/>
      <c r="BH7" s="458" t="s">
        <v>224</v>
      </c>
      <c r="BI7" s="453" t="s">
        <v>1</v>
      </c>
      <c r="BJ7" s="120"/>
      <c r="BK7" s="453" t="s">
        <v>1</v>
      </c>
      <c r="BL7" s="120"/>
      <c r="BM7" s="431"/>
      <c r="BN7" s="472" t="s">
        <v>222</v>
      </c>
      <c r="BO7" s="453"/>
      <c r="BP7" s="120"/>
      <c r="BQ7" s="453"/>
      <c r="BR7" s="120"/>
      <c r="BS7" s="431"/>
      <c r="BT7" s="458" t="s">
        <v>222</v>
      </c>
      <c r="BU7" s="453"/>
      <c r="BV7" s="120"/>
      <c r="BW7" s="453"/>
      <c r="BX7" s="120"/>
      <c r="BY7" s="443"/>
    </row>
    <row r="8" spans="1:77" ht="13.5" thickBot="1" x14ac:dyDescent="0.3">
      <c r="A8" s="61"/>
      <c r="B8" s="60"/>
      <c r="C8" s="60"/>
      <c r="D8" s="60"/>
      <c r="E8" s="62"/>
      <c r="F8" s="62"/>
      <c r="G8" s="62"/>
      <c r="H8" s="62"/>
      <c r="I8" s="94"/>
      <c r="J8" s="93"/>
      <c r="K8" s="93"/>
      <c r="L8" s="93"/>
      <c r="M8" s="93"/>
      <c r="N8" s="93"/>
      <c r="O8" s="234" t="str">
        <f t="shared" ref="O8:O39" si="0">IF($E8&lt;=0, " ",IF($E8&lt;=0.25, "A",IF($E8&lt;10, "B",IF($E8&lt;100, "C", IF($E8&lt;300, "D",IF($E8&lt;1000, "E",IF($E8&lt;5000,"F",IF($E8&gt;=5000, "G"))))))))</f>
        <v xml:space="preserve"> </v>
      </c>
      <c r="P8" s="60"/>
      <c r="Q8" s="60"/>
      <c r="R8" s="60"/>
      <c r="S8" s="61"/>
      <c r="T8" s="60"/>
      <c r="U8" s="60"/>
      <c r="V8" s="60"/>
      <c r="W8" s="60"/>
      <c r="X8" s="60"/>
      <c r="Y8" s="60"/>
      <c r="Z8" s="60"/>
      <c r="AA8" s="60"/>
      <c r="AB8" s="60"/>
      <c r="AC8" s="12"/>
      <c r="AD8" s="213" t="s">
        <v>168</v>
      </c>
      <c r="AE8" s="214">
        <f>COUNTIFS($Q3:$Q147, "L", $V$3:$V$147, "Y")</f>
        <v>0</v>
      </c>
      <c r="AF8" s="216">
        <f>SUMIFS($E$3:$E$147,$Q3:$Q147, "L", $V$3:$V$147, "Y")</f>
        <v>0</v>
      </c>
      <c r="AG8" s="357">
        <f>COUNTIFS(F3:F147,"&lt;&gt;",Table3[Will fire be counted
for SIT?],"Y",Table3[Cause],"L")</f>
        <v>0</v>
      </c>
      <c r="AH8" s="349">
        <f>SUMIFS(Table3[County 
OWNED
Acres],Table3[Will fire be counted
for SIT?],"Y",Table3[Cause],"L")</f>
        <v>0</v>
      </c>
      <c r="AI8" s="352">
        <f>SUMIFS($I$3:$I$147,$Q3:$Q147, "L", $V$3:$V$147, "Y")</f>
        <v>0</v>
      </c>
      <c r="AJ8" s="215" t="e">
        <f>SUMIFS(#REF!,$Q3:$Q147, "L", $V$3:$V$147, "Y")</f>
        <v>#REF!</v>
      </c>
      <c r="AK8" s="216">
        <f>SUMIFS($K$3:$K$147,$Q3:$Q147, "L", $V$3:$V$147, "Y")</f>
        <v>0</v>
      </c>
      <c r="AM8" s="363"/>
      <c r="AN8" s="807" t="s">
        <v>465</v>
      </c>
      <c r="AO8" s="322" t="s">
        <v>466</v>
      </c>
      <c r="AP8" s="323">
        <f>AI$44</f>
        <v>0</v>
      </c>
      <c r="AQ8" s="324">
        <f>AJ$44</f>
        <v>0</v>
      </c>
      <c r="AR8" s="323">
        <f>AK$44</f>
        <v>0</v>
      </c>
      <c r="AS8" s="324">
        <f>AL$44</f>
        <v>0</v>
      </c>
      <c r="AT8" s="333" t="s">
        <v>1</v>
      </c>
      <c r="AU8" s="334" t="s">
        <v>1</v>
      </c>
      <c r="BB8" s="201" t="s">
        <v>220</v>
      </c>
      <c r="BC8" s="183" t="e">
        <f>COUNTIFS($V$3:$V$147,"Y",#REF!,$BB8,$Q$3:$Q$147,"H")</f>
        <v>#REF!</v>
      </c>
      <c r="BD8" s="220" t="e">
        <f>SUMIFS($E$3:$E$147,#REF!, $BB8,$V$3:$V$147,"Y",$Q$3:$Q$147,"H")</f>
        <v>#REF!</v>
      </c>
      <c r="BE8" s="183" t="e">
        <f>COUNTIFS($V$3:$V$147,"Y",#REF!,$BB8,$Q$3:$Q$147,"L")</f>
        <v>#REF!</v>
      </c>
      <c r="BF8" s="437" t="e">
        <f>SUMIFS($E$3:$E$147,#REF!, $BB8,$V$3:$V$147,"Y",$Q$3:$Q$147,"L")</f>
        <v>#REF!</v>
      </c>
      <c r="BG8" s="432"/>
      <c r="BH8" s="457" t="s">
        <v>227</v>
      </c>
      <c r="BI8" s="452" t="s">
        <v>1</v>
      </c>
      <c r="BJ8" s="121"/>
      <c r="BK8" s="452" t="s">
        <v>1</v>
      </c>
      <c r="BL8" s="121"/>
      <c r="BM8" s="431"/>
      <c r="BN8" s="471" t="s">
        <v>224</v>
      </c>
      <c r="BO8" s="452"/>
      <c r="BP8" s="121"/>
      <c r="BQ8" s="452"/>
      <c r="BR8" s="121"/>
      <c r="BS8" s="431"/>
      <c r="BT8" s="457" t="s">
        <v>224</v>
      </c>
      <c r="BU8" s="452"/>
      <c r="BV8" s="121"/>
      <c r="BW8" s="452"/>
      <c r="BX8" s="121"/>
      <c r="BY8" s="443"/>
    </row>
    <row r="9" spans="1:77" ht="13.5" thickBot="1" x14ac:dyDescent="0.3">
      <c r="A9" s="61"/>
      <c r="B9" s="60"/>
      <c r="C9" s="60"/>
      <c r="D9" s="60"/>
      <c r="E9" s="62"/>
      <c r="F9" s="62"/>
      <c r="G9" s="62"/>
      <c r="H9" s="62"/>
      <c r="I9" s="94"/>
      <c r="J9" s="94"/>
      <c r="K9" s="94"/>
      <c r="L9" s="94"/>
      <c r="M9" s="94"/>
      <c r="N9" s="94"/>
      <c r="O9" s="235" t="str">
        <f t="shared" si="0"/>
        <v xml:space="preserve"> </v>
      </c>
      <c r="P9" s="60"/>
      <c r="Q9" s="60"/>
      <c r="R9" s="60"/>
      <c r="S9" s="61"/>
      <c r="T9" s="60"/>
      <c r="U9" s="60"/>
      <c r="V9" s="60"/>
      <c r="W9" s="60"/>
      <c r="X9" s="60"/>
      <c r="Y9" s="60"/>
      <c r="Z9" s="60"/>
      <c r="AA9" s="60"/>
      <c r="AB9" s="60"/>
      <c r="AC9" s="12"/>
      <c r="AD9" s="217" t="s">
        <v>181</v>
      </c>
      <c r="AE9" s="218">
        <f>SUM(AE7:AE8)</f>
        <v>4</v>
      </c>
      <c r="AF9" s="200">
        <f>SUM(AF7:AF8)</f>
        <v>32.4</v>
      </c>
      <c r="AG9" s="358">
        <f>AG7+AG8</f>
        <v>4</v>
      </c>
      <c r="AH9" s="350">
        <f>AH7+AH8</f>
        <v>32.4</v>
      </c>
      <c r="AI9" s="353">
        <f>SUM(AI8:AI8)</f>
        <v>0</v>
      </c>
      <c r="AJ9" s="219" t="e">
        <f>SUM(AJ8:AJ8)</f>
        <v>#REF!</v>
      </c>
      <c r="AK9" s="200">
        <f>SUM(AK8:AK8)</f>
        <v>0</v>
      </c>
      <c r="AM9" s="363"/>
      <c r="AN9" s="808"/>
      <c r="AO9" s="293" t="s">
        <v>467</v>
      </c>
      <c r="AP9" s="299"/>
      <c r="AQ9" s="300"/>
      <c r="AR9" s="299"/>
      <c r="AS9" s="300"/>
      <c r="AT9" s="316" t="s">
        <v>1</v>
      </c>
      <c r="AU9" s="172" t="s">
        <v>1</v>
      </c>
      <c r="BB9" s="201" t="s">
        <v>222</v>
      </c>
      <c r="BC9" s="183" t="e">
        <f>COUNTIFS($V$3:$V$147,"Y",#REF!,$BB9,$Q$3:$Q$147,"H")</f>
        <v>#REF!</v>
      </c>
      <c r="BD9" s="220" t="e">
        <f>SUMIFS($E$3:$E$147,#REF!, $BB9,$V$3:$V$147,"Y",$Q$3:$Q$147,"H")</f>
        <v>#REF!</v>
      </c>
      <c r="BE9" s="183" t="e">
        <f>COUNTIFS($V$3:$V$147,"Y",#REF!,$BB9,$Q$3:$Q$147,"L")</f>
        <v>#REF!</v>
      </c>
      <c r="BF9" s="437" t="e">
        <f>SUMIFS($E$3:$E$147,#REF!, $BB9,$V$3:$V$147,"Y",$Q$3:$Q$147,"L")</f>
        <v>#REF!</v>
      </c>
      <c r="BG9" s="432"/>
      <c r="BH9" s="458" t="s">
        <v>229</v>
      </c>
      <c r="BI9" s="453" t="s">
        <v>1</v>
      </c>
      <c r="BJ9" s="120"/>
      <c r="BK9" s="453" t="s">
        <v>1</v>
      </c>
      <c r="BL9" s="120"/>
      <c r="BM9" s="431"/>
      <c r="BN9" s="472" t="s">
        <v>229</v>
      </c>
      <c r="BO9" s="453"/>
      <c r="BP9" s="120"/>
      <c r="BQ9" s="453"/>
      <c r="BR9" s="120"/>
      <c r="BS9" s="431"/>
      <c r="BT9" s="458" t="s">
        <v>227</v>
      </c>
      <c r="BU9" s="453"/>
      <c r="BV9" s="120"/>
      <c r="BW9" s="453"/>
      <c r="BX9" s="120"/>
      <c r="BY9" s="443"/>
    </row>
    <row r="10" spans="1:77" ht="13.5" thickBot="1" x14ac:dyDescent="0.3">
      <c r="A10" s="61"/>
      <c r="B10" s="60"/>
      <c r="C10" s="60"/>
      <c r="D10" s="60"/>
      <c r="E10" s="62"/>
      <c r="F10" s="62"/>
      <c r="G10" s="62"/>
      <c r="H10" s="62"/>
      <c r="I10" s="94"/>
      <c r="J10" s="93"/>
      <c r="K10" s="93"/>
      <c r="L10" s="93"/>
      <c r="M10" s="93"/>
      <c r="N10" s="93"/>
      <c r="O10" s="234" t="str">
        <f t="shared" si="0"/>
        <v xml:space="preserve"> </v>
      </c>
      <c r="P10" s="60"/>
      <c r="Q10" s="60"/>
      <c r="R10" s="60"/>
      <c r="S10" s="61"/>
      <c r="T10" s="60"/>
      <c r="U10" s="60"/>
      <c r="V10" s="60"/>
      <c r="W10" s="60"/>
      <c r="X10" s="60"/>
      <c r="Y10" s="60"/>
      <c r="Z10" s="60"/>
      <c r="AA10" s="60"/>
      <c r="AB10" s="60"/>
      <c r="AC10" s="12"/>
      <c r="AD10" s="99"/>
      <c r="AE10" s="99"/>
      <c r="AF10" s="99"/>
      <c r="AG10" s="16"/>
      <c r="AH10" s="16"/>
      <c r="AI10" s="16"/>
      <c r="AJ10" s="16"/>
      <c r="AK10" s="16"/>
      <c r="AM10" s="363"/>
      <c r="AN10" s="808"/>
      <c r="AO10" s="313" t="s">
        <v>468</v>
      </c>
      <c r="AP10" s="296"/>
      <c r="AQ10" s="297"/>
      <c r="AR10" s="296"/>
      <c r="AS10" s="297"/>
      <c r="AT10" s="317" t="s">
        <v>1</v>
      </c>
      <c r="AU10" s="318" t="s">
        <v>1</v>
      </c>
      <c r="AZ10" s="99"/>
      <c r="BB10" s="201" t="s">
        <v>224</v>
      </c>
      <c r="BC10" s="183" t="e">
        <f>COUNTIFS($V$3:$V$147,"Y",#REF!,$BB10,$Q$3:$Q$147,"H")</f>
        <v>#REF!</v>
      </c>
      <c r="BD10" s="220" t="e">
        <f>SUMIFS($E$3:$E$147,#REF!, $BB10,$V$3:$V$147,"Y",$Q$3:$Q$147,"H")</f>
        <v>#REF!</v>
      </c>
      <c r="BE10" s="183" t="e">
        <f>COUNTIFS($V$3:$V$147,"Y",#REF!,$BB10,$Q$3:$Q$147,"L")</f>
        <v>#REF!</v>
      </c>
      <c r="BF10" s="437" t="e">
        <f>SUMIFS($E$3:$E$147,#REF!, $BB10,$V$3:$V$147,"Y",$Q$3:$Q$147,"L")</f>
        <v>#REF!</v>
      </c>
      <c r="BG10" s="432"/>
      <c r="BH10" s="457" t="s">
        <v>232</v>
      </c>
      <c r="BI10" s="452" t="s">
        <v>1</v>
      </c>
      <c r="BJ10" s="121"/>
      <c r="BK10" s="452" t="s">
        <v>1</v>
      </c>
      <c r="BL10" s="121"/>
      <c r="BM10" s="431"/>
      <c r="BN10" s="471" t="s">
        <v>232</v>
      </c>
      <c r="BO10" s="452"/>
      <c r="BP10" s="121"/>
      <c r="BQ10" s="452"/>
      <c r="BR10" s="121"/>
      <c r="BS10" s="431"/>
      <c r="BT10" s="457" t="s">
        <v>229</v>
      </c>
      <c r="BU10" s="452"/>
      <c r="BV10" s="121"/>
      <c r="BW10" s="452"/>
      <c r="BX10" s="121"/>
      <c r="BY10" s="443"/>
    </row>
    <row r="11" spans="1:77" ht="15.5" x14ac:dyDescent="0.25">
      <c r="A11" s="61"/>
      <c r="B11" s="60"/>
      <c r="C11" s="60"/>
      <c r="D11" s="60"/>
      <c r="E11" s="62"/>
      <c r="F11" s="62"/>
      <c r="G11" s="62"/>
      <c r="H11" s="62"/>
      <c r="I11" s="94"/>
      <c r="J11" s="94"/>
      <c r="K11" s="94"/>
      <c r="L11" s="94"/>
      <c r="M11" s="94"/>
      <c r="N11" s="94"/>
      <c r="O11" s="235" t="str">
        <f t="shared" si="0"/>
        <v xml:space="preserve"> </v>
      </c>
      <c r="P11" s="60"/>
      <c r="Q11" s="60"/>
      <c r="R11" s="60"/>
      <c r="S11" s="61"/>
      <c r="T11" s="60"/>
      <c r="U11" s="60"/>
      <c r="V11" s="60"/>
      <c r="W11" s="60"/>
      <c r="X11" s="60"/>
      <c r="Y11" s="60"/>
      <c r="Z11" s="60"/>
      <c r="AA11" s="60"/>
      <c r="AB11" s="60"/>
      <c r="AC11" s="12"/>
      <c r="AD11" s="698" t="s">
        <v>148</v>
      </c>
      <c r="AE11" s="699"/>
      <c r="AF11" s="699"/>
      <c r="AG11" s="699"/>
      <c r="AH11" s="700"/>
      <c r="AI11" s="100"/>
      <c r="AL11" s="106"/>
      <c r="AM11" s="363"/>
      <c r="AN11" s="808"/>
      <c r="AO11" s="293" t="s">
        <v>469</v>
      </c>
      <c r="AP11" s="299"/>
      <c r="AQ11" s="300"/>
      <c r="AR11" s="299"/>
      <c r="AS11" s="300"/>
      <c r="AT11" s="316" t="s">
        <v>1</v>
      </c>
      <c r="AU11" s="172" t="s">
        <v>1</v>
      </c>
      <c r="AV11" s="101"/>
      <c r="AW11" s="101"/>
      <c r="AX11" s="101"/>
      <c r="BB11" s="201" t="s">
        <v>227</v>
      </c>
      <c r="BC11" s="183" t="e">
        <f>COUNTIFS($V$3:$V$147,"Y",#REF!,$BB11,$Q$3:$Q$147,"H")</f>
        <v>#REF!</v>
      </c>
      <c r="BD11" s="220" t="e">
        <f>SUMIFS($E$3:$E$147,#REF!, $BB11,$V$3:$V$147,"Y",$Q$3:$Q$147,"H")</f>
        <v>#REF!</v>
      </c>
      <c r="BE11" s="183" t="e">
        <f>COUNTIFS($V$3:$V$147,"Y",#REF!,$BB11,$Q$3:$Q$147,"L")</f>
        <v>#REF!</v>
      </c>
      <c r="BF11" s="437" t="e">
        <f>SUMIFS($E$3:$E$147,#REF!, $BB11,$V$3:$V$147,"Y",$Q$3:$Q$147,"L")</f>
        <v>#REF!</v>
      </c>
      <c r="BG11" s="432"/>
      <c r="BH11" s="458" t="s">
        <v>44</v>
      </c>
      <c r="BI11" s="453" t="s">
        <v>1</v>
      </c>
      <c r="BJ11" s="120"/>
      <c r="BK11" s="453" t="s">
        <v>1</v>
      </c>
      <c r="BL11" s="120"/>
      <c r="BM11" s="431"/>
      <c r="BN11" s="472" t="s">
        <v>44</v>
      </c>
      <c r="BO11" s="453"/>
      <c r="BP11" s="120"/>
      <c r="BQ11" s="453"/>
      <c r="BR11" s="120"/>
      <c r="BS11" s="431"/>
      <c r="BT11" s="458" t="s">
        <v>232</v>
      </c>
      <c r="BU11" s="453"/>
      <c r="BV11" s="120"/>
      <c r="BW11" s="453"/>
      <c r="BX11" s="120"/>
      <c r="BY11" s="443"/>
    </row>
    <row r="12" spans="1:77" ht="16" thickBot="1" x14ac:dyDescent="0.3">
      <c r="A12" s="61"/>
      <c r="B12" s="60"/>
      <c r="C12" s="60"/>
      <c r="D12" s="60"/>
      <c r="E12" s="62"/>
      <c r="F12" s="62"/>
      <c r="G12" s="62"/>
      <c r="H12" s="62"/>
      <c r="I12" s="94"/>
      <c r="J12" s="93"/>
      <c r="K12" s="93"/>
      <c r="L12" s="93"/>
      <c r="M12" s="93"/>
      <c r="N12" s="93"/>
      <c r="O12" s="234" t="str">
        <f t="shared" si="0"/>
        <v xml:space="preserve"> </v>
      </c>
      <c r="P12" s="60"/>
      <c r="Q12" s="60"/>
      <c r="R12" s="60"/>
      <c r="S12" s="61"/>
      <c r="T12" s="60"/>
      <c r="U12" s="60"/>
      <c r="V12" s="60"/>
      <c r="W12" s="60"/>
      <c r="X12" s="60"/>
      <c r="Y12" s="60"/>
      <c r="Z12" s="60"/>
      <c r="AA12" s="60"/>
      <c r="AB12" s="60"/>
      <c r="AC12" s="12"/>
      <c r="AD12" s="798" t="s">
        <v>470</v>
      </c>
      <c r="AE12" s="799"/>
      <c r="AF12" s="799"/>
      <c r="AG12" s="799"/>
      <c r="AH12" s="800"/>
      <c r="AI12" s="100"/>
      <c r="AL12" s="107"/>
      <c r="AM12" s="363"/>
      <c r="AN12" s="808"/>
      <c r="AO12" s="313" t="s">
        <v>471</v>
      </c>
      <c r="AP12" s="296"/>
      <c r="AQ12" s="297"/>
      <c r="AR12" s="296"/>
      <c r="AS12" s="297"/>
      <c r="AT12" s="317" t="s">
        <v>1</v>
      </c>
      <c r="AU12" s="318" t="s">
        <v>1</v>
      </c>
      <c r="AV12" s="102"/>
      <c r="AW12" s="102"/>
      <c r="AX12" s="102"/>
      <c r="BB12" s="201" t="s">
        <v>229</v>
      </c>
      <c r="BC12" s="183" t="e">
        <f>COUNTIFS($V$3:$V$147,"Y",#REF!,$BB12,$Q$3:$Q$147,"H")</f>
        <v>#REF!</v>
      </c>
      <c r="BD12" s="220" t="e">
        <f>SUMIFS($E$3:$E$147,#REF!, $BB12,$V$3:$V$147,"Y",$Q$3:$Q$147,"H")</f>
        <v>#REF!</v>
      </c>
      <c r="BE12" s="183" t="e">
        <f>COUNTIFS($V$3:$V$147,"Y",#REF!,$BB12,$Q$3:$Q$147,"L")</f>
        <v>#REF!</v>
      </c>
      <c r="BF12" s="437" t="e">
        <f>SUMIFS($E$3:$E$147,#REF!, $BB12,$V$3:$V$147,"Y",$Q$3:$Q$147,"L")</f>
        <v>#REF!</v>
      </c>
      <c r="BG12" s="432"/>
      <c r="BH12" s="457" t="s">
        <v>236</v>
      </c>
      <c r="BI12" s="452" t="s">
        <v>1</v>
      </c>
      <c r="BJ12" s="121"/>
      <c r="BK12" s="452" t="s">
        <v>1</v>
      </c>
      <c r="BL12" s="121"/>
      <c r="BM12" s="431"/>
      <c r="BN12" s="471" t="s">
        <v>236</v>
      </c>
      <c r="BO12" s="452"/>
      <c r="BP12" s="121"/>
      <c r="BQ12" s="452"/>
      <c r="BR12" s="121"/>
      <c r="BS12" s="431"/>
      <c r="BT12" s="457" t="s">
        <v>236</v>
      </c>
      <c r="BU12" s="452"/>
      <c r="BV12" s="121"/>
      <c r="BW12" s="452"/>
      <c r="BX12" s="121"/>
      <c r="BY12" s="443"/>
    </row>
    <row r="13" spans="1:77" ht="15.5" x14ac:dyDescent="0.25">
      <c r="A13" s="61"/>
      <c r="B13" s="60"/>
      <c r="C13" s="60"/>
      <c r="D13" s="60"/>
      <c r="E13" s="62"/>
      <c r="F13" s="62"/>
      <c r="G13" s="62"/>
      <c r="H13" s="62"/>
      <c r="I13" s="94"/>
      <c r="J13" s="94"/>
      <c r="K13" s="94"/>
      <c r="L13" s="94"/>
      <c r="M13" s="94"/>
      <c r="N13" s="94"/>
      <c r="O13" s="235" t="str">
        <f t="shared" si="0"/>
        <v xml:space="preserve"> </v>
      </c>
      <c r="P13" s="60"/>
      <c r="Q13" s="60"/>
      <c r="R13" s="60"/>
      <c r="S13" s="61"/>
      <c r="T13" s="60"/>
      <c r="U13" s="60"/>
      <c r="V13" s="60"/>
      <c r="W13" s="60"/>
      <c r="X13" s="60"/>
      <c r="Y13" s="60"/>
      <c r="Z13" s="60"/>
      <c r="AA13" s="60"/>
      <c r="AB13" s="60"/>
      <c r="AC13" s="12"/>
      <c r="AD13" s="755" t="s">
        <v>166</v>
      </c>
      <c r="AE13" s="752" t="s">
        <v>167</v>
      </c>
      <c r="AF13" s="753"/>
      <c r="AG13" s="754" t="s">
        <v>168</v>
      </c>
      <c r="AH13" s="753"/>
      <c r="AI13" s="100"/>
      <c r="AL13" s="107"/>
      <c r="AM13" s="363"/>
      <c r="AN13" s="808"/>
      <c r="AO13" s="293" t="s">
        <v>472</v>
      </c>
      <c r="AP13" s="299"/>
      <c r="AQ13" s="300"/>
      <c r="AR13" s="299"/>
      <c r="AS13" s="300"/>
      <c r="AT13" s="316" t="s">
        <v>1</v>
      </c>
      <c r="AU13" s="172" t="s">
        <v>1</v>
      </c>
      <c r="AV13" s="104"/>
      <c r="AW13" s="104"/>
      <c r="AX13" s="104"/>
      <c r="BB13" s="201" t="s">
        <v>232</v>
      </c>
      <c r="BC13" s="183" t="e">
        <f>COUNTIFS($V$3:$V$147,"Y",#REF!,$BB13,$Q$3:$Q$147,"H")</f>
        <v>#REF!</v>
      </c>
      <c r="BD13" s="220" t="e">
        <f>SUMIFS($E$3:$E$147,#REF!, $BB13,$V$3:$V$147,"Y",$Q$3:$Q$147,"H")</f>
        <v>#REF!</v>
      </c>
      <c r="BE13" s="183" t="e">
        <f>COUNTIFS($V$3:$V$147,"Y",#REF!,$BB13,$Q$3:$Q$147,"L")</f>
        <v>#REF!</v>
      </c>
      <c r="BF13" s="437" t="e">
        <f>SUMIFS($E$3:$E$147,#REF!, $BB13,$V$3:$V$147,"Y",$Q$3:$Q$147,"L")</f>
        <v>#REF!</v>
      </c>
      <c r="BG13" s="432"/>
      <c r="BH13" s="458" t="s">
        <v>163</v>
      </c>
      <c r="BI13" s="453" t="s">
        <v>1</v>
      </c>
      <c r="BJ13" s="120"/>
      <c r="BK13" s="453" t="s">
        <v>1</v>
      </c>
      <c r="BL13" s="120"/>
      <c r="BM13" s="431"/>
      <c r="BN13" s="472" t="s">
        <v>163</v>
      </c>
      <c r="BO13" s="453"/>
      <c r="BP13" s="120"/>
      <c r="BQ13" s="453"/>
      <c r="BR13" s="120"/>
      <c r="BS13" s="431"/>
      <c r="BT13" s="458" t="s">
        <v>163</v>
      </c>
      <c r="BU13" s="453"/>
      <c r="BV13" s="120"/>
      <c r="BW13" s="453"/>
      <c r="BX13" s="120"/>
      <c r="BY13" s="443"/>
    </row>
    <row r="14" spans="1:77" ht="13.5" thickBot="1" x14ac:dyDescent="0.3">
      <c r="A14" s="61"/>
      <c r="B14" s="60"/>
      <c r="C14" s="60"/>
      <c r="D14" s="60"/>
      <c r="E14" s="62"/>
      <c r="F14" s="62"/>
      <c r="G14" s="62"/>
      <c r="H14" s="62"/>
      <c r="I14" s="94"/>
      <c r="J14" s="93"/>
      <c r="K14" s="93"/>
      <c r="L14" s="93"/>
      <c r="M14" s="93"/>
      <c r="N14" s="93"/>
      <c r="O14" s="234" t="str">
        <f t="shared" si="0"/>
        <v xml:space="preserve"> </v>
      </c>
      <c r="P14" s="60"/>
      <c r="Q14" s="60"/>
      <c r="R14" s="60"/>
      <c r="S14" s="61"/>
      <c r="T14" s="60"/>
      <c r="U14" s="60"/>
      <c r="V14" s="60"/>
      <c r="W14" s="60"/>
      <c r="X14" s="60"/>
      <c r="Y14" s="60"/>
      <c r="Z14" s="60"/>
      <c r="AA14" s="60"/>
      <c r="AB14" s="60"/>
      <c r="AC14" s="12"/>
      <c r="AD14" s="756"/>
      <c r="AE14" s="161" t="s">
        <v>172</v>
      </c>
      <c r="AF14" s="162" t="s">
        <v>173</v>
      </c>
      <c r="AG14" s="163" t="s">
        <v>172</v>
      </c>
      <c r="AH14" s="162" t="s">
        <v>173</v>
      </c>
      <c r="AI14" s="100"/>
      <c r="AM14" s="363"/>
      <c r="AN14" s="808"/>
      <c r="AO14" s="313" t="s">
        <v>473</v>
      </c>
      <c r="AP14" s="296"/>
      <c r="AQ14" s="297"/>
      <c r="AR14" s="296"/>
      <c r="AS14" s="297"/>
      <c r="AT14" s="317" t="s">
        <v>1</v>
      </c>
      <c r="AU14" s="318" t="s">
        <v>1</v>
      </c>
      <c r="AV14" s="105"/>
      <c r="AW14" s="105"/>
      <c r="AX14" s="105"/>
      <c r="BB14" s="201" t="s">
        <v>44</v>
      </c>
      <c r="BC14" s="183" t="e">
        <f>COUNTIFS($V$3:$V$147,"Y",#REF!,$BB14,$Q$3:$Q$147,"H")</f>
        <v>#REF!</v>
      </c>
      <c r="BD14" s="220" t="e">
        <f>SUMIFS($E$3:$E$147,#REF!, $BB14,$V$3:$V$147,"Y",$Q$3:$Q$147,"H")</f>
        <v>#REF!</v>
      </c>
      <c r="BE14" s="183" t="e">
        <f>COUNTIFS($V$3:$V$147,"Y",#REF!,$BB14,$Q$3:$Q$147,"L")</f>
        <v>#REF!</v>
      </c>
      <c r="BF14" s="437" t="e">
        <f>SUMIFS($E$3:$E$147,#REF!, $BB14,$V$3:$V$147,"Y",$Q$3:$Q$147,"L")</f>
        <v>#REF!</v>
      </c>
      <c r="BG14" s="432"/>
      <c r="BH14" s="457" t="s">
        <v>52</v>
      </c>
      <c r="BI14" s="452" t="s">
        <v>1</v>
      </c>
      <c r="BJ14" s="121"/>
      <c r="BK14" s="452" t="s">
        <v>1</v>
      </c>
      <c r="BL14" s="121"/>
      <c r="BM14" s="431"/>
      <c r="BN14" s="471" t="s">
        <v>52</v>
      </c>
      <c r="BO14" s="452"/>
      <c r="BP14" s="121"/>
      <c r="BQ14" s="452"/>
      <c r="BR14" s="121"/>
      <c r="BS14" s="431"/>
      <c r="BT14" s="457" t="s">
        <v>52</v>
      </c>
      <c r="BU14" s="452"/>
      <c r="BV14" s="121"/>
      <c r="BW14" s="452"/>
      <c r="BX14" s="121"/>
      <c r="BY14" s="443"/>
    </row>
    <row r="15" spans="1:77" ht="13" x14ac:dyDescent="0.25">
      <c r="A15" s="61"/>
      <c r="B15" s="60"/>
      <c r="C15" s="60"/>
      <c r="D15" s="60"/>
      <c r="E15" s="62"/>
      <c r="F15" s="62"/>
      <c r="G15" s="62"/>
      <c r="H15" s="62"/>
      <c r="I15" s="94"/>
      <c r="J15" s="94"/>
      <c r="K15" s="94"/>
      <c r="L15" s="94"/>
      <c r="M15" s="94"/>
      <c r="N15" s="94"/>
      <c r="O15" s="235" t="str">
        <f t="shared" si="0"/>
        <v xml:space="preserve"> </v>
      </c>
      <c r="P15" s="60"/>
      <c r="Q15" s="60"/>
      <c r="R15" s="60"/>
      <c r="S15" s="61"/>
      <c r="T15" s="60"/>
      <c r="U15" s="60"/>
      <c r="V15" s="60"/>
      <c r="W15" s="60"/>
      <c r="X15" s="60"/>
      <c r="Y15" s="60"/>
      <c r="Z15" s="60"/>
      <c r="AA15" s="60"/>
      <c r="AB15" s="60"/>
      <c r="AC15" s="12"/>
      <c r="AD15" s="170" t="s">
        <v>220</v>
      </c>
      <c r="AE15" s="165">
        <f t="shared" ref="AE15:AE21" si="1">COUNTIFS($W$3:$W$157,"Y",$R$3:$R$157,"H",$A$3:$A$157,$AW15)</f>
        <v>0</v>
      </c>
      <c r="AF15" s="166">
        <f t="shared" ref="AF15:AF21" si="2">SUMIFS($H$3:$H$157,$A$3:$A$157,$AW15,$W$3:$W$157,"Y",$R$3:$R$157,"H")</f>
        <v>0</v>
      </c>
      <c r="AG15" s="167">
        <f t="shared" ref="AG15:AG21" si="3">COUNTIFS($W$3:$W$157,"Y",$R$3:$R$157,"L",$A$3:$A$157,$AW15)</f>
        <v>0</v>
      </c>
      <c r="AH15" s="166">
        <f t="shared" ref="AH15:AH21" si="4">SUMIFS($H$3:$H$157,$A$3:$A$157,$AW15,$W$3:$W$157,"Y",$R$3:$R$157,"L")</f>
        <v>0</v>
      </c>
      <c r="AI15" s="100"/>
      <c r="AM15" s="363"/>
      <c r="AN15" s="808"/>
      <c r="AO15" s="293" t="s">
        <v>474</v>
      </c>
      <c r="AP15" s="299"/>
      <c r="AQ15" s="300"/>
      <c r="AR15" s="299"/>
      <c r="AS15" s="300"/>
      <c r="AT15" s="316" t="s">
        <v>1</v>
      </c>
      <c r="AU15" s="172" t="s">
        <v>1</v>
      </c>
      <c r="AV15" s="98"/>
      <c r="AW15" s="98"/>
      <c r="AX15" s="98"/>
      <c r="BB15" s="201" t="s">
        <v>236</v>
      </c>
      <c r="BC15" s="183" t="e">
        <f>COUNTIFS($V$3:$V$147,"Y",#REF!,$BB15,$Q$3:$Q$147,"H")</f>
        <v>#REF!</v>
      </c>
      <c r="BD15" s="220" t="e">
        <f>SUMIFS($E$3:$E$147,#REF!, $BB15,$V$3:$V$147,"Y",$Q$3:$Q$147,"H")</f>
        <v>#REF!</v>
      </c>
      <c r="BE15" s="183" t="e">
        <f>COUNTIFS($V$3:$V$147,"Y",#REF!,$BB15,$Q$3:$Q$147,"L")</f>
        <v>#REF!</v>
      </c>
      <c r="BF15" s="437" t="e">
        <f>SUMIFS($E$3:$E$147,#REF!, $BB15,$V$3:$V$147,"Y",$Q$3:$Q$147,"L")</f>
        <v>#REF!</v>
      </c>
      <c r="BG15" s="432"/>
      <c r="BH15" s="458" t="s">
        <v>151</v>
      </c>
      <c r="BI15" s="453" t="s">
        <v>1</v>
      </c>
      <c r="BJ15" s="120"/>
      <c r="BK15" s="453" t="s">
        <v>1</v>
      </c>
      <c r="BL15" s="120"/>
      <c r="BM15" s="431"/>
      <c r="BN15" s="472" t="s">
        <v>151</v>
      </c>
      <c r="BO15" s="453"/>
      <c r="BP15" s="120"/>
      <c r="BQ15" s="453"/>
      <c r="BR15" s="120"/>
      <c r="BS15" s="431"/>
      <c r="BT15" s="458" t="s">
        <v>151</v>
      </c>
      <c r="BU15" s="453"/>
      <c r="BV15" s="120"/>
      <c r="BW15" s="453"/>
      <c r="BX15" s="120"/>
      <c r="BY15" s="443"/>
    </row>
    <row r="16" spans="1:77" ht="13.5" thickBot="1" x14ac:dyDescent="0.3">
      <c r="A16" s="61"/>
      <c r="B16" s="60"/>
      <c r="C16" s="60"/>
      <c r="D16" s="60"/>
      <c r="E16" s="62"/>
      <c r="F16" s="62"/>
      <c r="G16" s="62"/>
      <c r="H16" s="62"/>
      <c r="I16" s="94"/>
      <c r="J16" s="93"/>
      <c r="K16" s="93"/>
      <c r="L16" s="93"/>
      <c r="M16" s="93"/>
      <c r="N16" s="93"/>
      <c r="O16" s="234" t="str">
        <f t="shared" si="0"/>
        <v xml:space="preserve"> </v>
      </c>
      <c r="P16" s="60"/>
      <c r="Q16" s="60"/>
      <c r="R16" s="60"/>
      <c r="S16" s="61"/>
      <c r="T16" s="60"/>
      <c r="U16" s="60"/>
      <c r="V16" s="60"/>
      <c r="W16" s="60"/>
      <c r="X16" s="60"/>
      <c r="Y16" s="60"/>
      <c r="Z16" s="60"/>
      <c r="AA16" s="60"/>
      <c r="AB16" s="60"/>
      <c r="AC16" s="12"/>
      <c r="AD16" s="170" t="s">
        <v>222</v>
      </c>
      <c r="AE16" s="171">
        <f t="shared" si="1"/>
        <v>0</v>
      </c>
      <c r="AF16" s="172">
        <f t="shared" si="2"/>
        <v>0</v>
      </c>
      <c r="AG16" s="173">
        <f t="shared" si="3"/>
        <v>0</v>
      </c>
      <c r="AH16" s="172">
        <f t="shared" si="4"/>
        <v>0</v>
      </c>
      <c r="AI16" s="100"/>
      <c r="AM16" s="363"/>
      <c r="AN16" s="808"/>
      <c r="AO16" s="313" t="s">
        <v>475</v>
      </c>
      <c r="AP16" s="296"/>
      <c r="AQ16" s="297"/>
      <c r="AR16" s="296"/>
      <c r="AS16" s="297"/>
      <c r="AT16" s="317" t="s">
        <v>1</v>
      </c>
      <c r="AU16" s="318" t="s">
        <v>1</v>
      </c>
      <c r="AV16" s="16"/>
      <c r="AW16" s="16"/>
      <c r="AX16" s="16"/>
      <c r="BB16" s="202" t="s">
        <v>163</v>
      </c>
      <c r="BC16" s="175" t="e">
        <f>COUNTIFS($V$3:$V$147,"Y",#REF!,$BB16,$Q$3:$Q$147,"H")</f>
        <v>#REF!</v>
      </c>
      <c r="BD16" s="159" t="e">
        <f>SUMIFS($E$3:$E$147,#REF!, $BB16,$V$3:$V$147,"Y",$Q$3:$Q$147,"H")</f>
        <v>#REF!</v>
      </c>
      <c r="BE16" s="177" t="e">
        <f>COUNTIFS($V$3:$V$147,"Y",#REF!,$BB16,$Q$3:$Q$147,"L")</f>
        <v>#REF!</v>
      </c>
      <c r="BF16" s="438" t="e">
        <f>SUMIFS($E$3:$E$147,#REF!, $BB16,$V$3:$V$147,"Y",$Q$3:$Q$147,"L")</f>
        <v>#REF!</v>
      </c>
      <c r="BG16" s="432"/>
      <c r="BH16" s="457" t="s">
        <v>217</v>
      </c>
      <c r="BI16" s="452" t="s">
        <v>1</v>
      </c>
      <c r="BJ16" s="121"/>
      <c r="BK16" s="452" t="s">
        <v>1</v>
      </c>
      <c r="BL16" s="121"/>
      <c r="BM16" s="431"/>
      <c r="BN16" s="471" t="s">
        <v>217</v>
      </c>
      <c r="BO16" s="452"/>
      <c r="BP16" s="121"/>
      <c r="BQ16" s="452"/>
      <c r="BR16" s="121"/>
      <c r="BS16" s="431"/>
      <c r="BT16" s="457" t="s">
        <v>217</v>
      </c>
      <c r="BU16" s="452"/>
      <c r="BV16" s="121"/>
      <c r="BW16" s="452"/>
      <c r="BX16" s="121"/>
      <c r="BY16" s="443"/>
    </row>
    <row r="17" spans="1:77" ht="14" thickTop="1" thickBot="1" x14ac:dyDescent="0.3">
      <c r="A17" s="61"/>
      <c r="B17" s="60"/>
      <c r="C17" s="60"/>
      <c r="D17" s="60"/>
      <c r="E17" s="62"/>
      <c r="F17" s="62"/>
      <c r="G17" s="62"/>
      <c r="H17" s="62"/>
      <c r="I17" s="94"/>
      <c r="J17" s="94"/>
      <c r="K17" s="94"/>
      <c r="L17" s="94"/>
      <c r="M17" s="94"/>
      <c r="N17" s="94"/>
      <c r="O17" s="235" t="str">
        <f t="shared" si="0"/>
        <v xml:space="preserve"> </v>
      </c>
      <c r="P17" s="60"/>
      <c r="Q17" s="60"/>
      <c r="R17" s="60"/>
      <c r="S17" s="61"/>
      <c r="T17" s="60"/>
      <c r="U17" s="60"/>
      <c r="V17" s="60"/>
      <c r="W17" s="60"/>
      <c r="X17" s="60"/>
      <c r="Y17" s="60"/>
      <c r="Z17" s="60"/>
      <c r="AA17" s="60"/>
      <c r="AB17" s="60"/>
      <c r="AC17" s="12"/>
      <c r="AD17" s="170" t="s">
        <v>224</v>
      </c>
      <c r="AE17" s="171">
        <f t="shared" si="1"/>
        <v>0</v>
      </c>
      <c r="AF17" s="172">
        <f t="shared" si="2"/>
        <v>0</v>
      </c>
      <c r="AG17" s="173">
        <f t="shared" si="3"/>
        <v>0</v>
      </c>
      <c r="AH17" s="172">
        <f t="shared" si="4"/>
        <v>0</v>
      </c>
      <c r="AI17" s="100"/>
      <c r="AM17" s="363"/>
      <c r="AN17" s="808"/>
      <c r="AO17" s="293" t="s">
        <v>476</v>
      </c>
      <c r="AP17" s="299"/>
      <c r="AQ17" s="300"/>
      <c r="AR17" s="299"/>
      <c r="AS17" s="300"/>
      <c r="AT17" s="316" t="s">
        <v>1</v>
      </c>
      <c r="AU17" s="172" t="s">
        <v>1</v>
      </c>
      <c r="AV17" s="101"/>
      <c r="AW17" s="101"/>
      <c r="AX17" s="101"/>
      <c r="BB17" s="198" t="s">
        <v>181</v>
      </c>
      <c r="BC17" s="218" t="e">
        <f>SUM(BC8:BC16)</f>
        <v>#REF!</v>
      </c>
      <c r="BD17" s="200" t="e">
        <f>SUM(BD8:BD16)</f>
        <v>#REF!</v>
      </c>
      <c r="BE17" s="218" t="e">
        <f>SUM(BE8:BE16)</f>
        <v>#REF!</v>
      </c>
      <c r="BF17" s="353" t="e">
        <f>SUM(BF8:BF16)</f>
        <v>#REF!</v>
      </c>
      <c r="BG17" s="432"/>
      <c r="BH17" s="458" t="s">
        <v>242</v>
      </c>
      <c r="BI17" s="453" t="s">
        <v>1</v>
      </c>
      <c r="BJ17" s="120"/>
      <c r="BK17" s="453" t="s">
        <v>1</v>
      </c>
      <c r="BL17" s="120"/>
      <c r="BM17" s="431"/>
      <c r="BN17" s="472" t="s">
        <v>242</v>
      </c>
      <c r="BO17" s="453"/>
      <c r="BP17" s="120"/>
      <c r="BQ17" s="453"/>
      <c r="BR17" s="120"/>
      <c r="BS17" s="431"/>
      <c r="BT17" s="458" t="s">
        <v>242</v>
      </c>
      <c r="BU17" s="453"/>
      <c r="BV17" s="120"/>
      <c r="BW17" s="453"/>
      <c r="BX17" s="120"/>
      <c r="BY17" s="443"/>
    </row>
    <row r="18" spans="1:77" ht="13.5" thickBot="1" x14ac:dyDescent="0.3">
      <c r="A18" s="61"/>
      <c r="B18" s="60"/>
      <c r="C18" s="60"/>
      <c r="D18" s="60"/>
      <c r="E18" s="62"/>
      <c r="F18" s="62"/>
      <c r="G18" s="62"/>
      <c r="H18" s="62"/>
      <c r="I18" s="94"/>
      <c r="J18" s="93"/>
      <c r="K18" s="93"/>
      <c r="L18" s="93"/>
      <c r="M18" s="93"/>
      <c r="N18" s="93"/>
      <c r="O18" s="234" t="str">
        <f t="shared" si="0"/>
        <v xml:space="preserve"> </v>
      </c>
      <c r="P18" s="60"/>
      <c r="Q18" s="60"/>
      <c r="R18" s="60"/>
      <c r="S18" s="61"/>
      <c r="T18" s="60"/>
      <c r="U18" s="60"/>
      <c r="V18" s="60"/>
      <c r="W18" s="60"/>
      <c r="X18" s="60"/>
      <c r="Y18" s="60"/>
      <c r="Z18" s="60"/>
      <c r="AA18" s="60"/>
      <c r="AB18" s="60"/>
      <c r="AC18" s="12"/>
      <c r="AD18" s="170" t="s">
        <v>227</v>
      </c>
      <c r="AE18" s="171">
        <f t="shared" si="1"/>
        <v>0</v>
      </c>
      <c r="AF18" s="172">
        <f t="shared" si="2"/>
        <v>0</v>
      </c>
      <c r="AG18" s="173">
        <f t="shared" si="3"/>
        <v>0</v>
      </c>
      <c r="AH18" s="172">
        <f t="shared" si="4"/>
        <v>0</v>
      </c>
      <c r="AI18" s="100"/>
      <c r="AM18" s="363"/>
      <c r="AN18" s="808"/>
      <c r="AO18" s="313" t="s">
        <v>477</v>
      </c>
      <c r="AP18" s="296"/>
      <c r="AQ18" s="297"/>
      <c r="AR18" s="296"/>
      <c r="AS18" s="297"/>
      <c r="AT18" s="317" t="s">
        <v>1</v>
      </c>
      <c r="AU18" s="318" t="s">
        <v>1</v>
      </c>
      <c r="AV18" s="102"/>
      <c r="AW18" s="102"/>
      <c r="AX18" s="102"/>
      <c r="BB18" s="99"/>
      <c r="BC18" s="99"/>
      <c r="BD18" s="99"/>
      <c r="BE18" s="99"/>
      <c r="BF18" s="439"/>
      <c r="BG18" s="432"/>
      <c r="BH18" s="457" t="s">
        <v>245</v>
      </c>
      <c r="BI18" s="452" t="s">
        <v>1</v>
      </c>
      <c r="BJ18" s="121"/>
      <c r="BK18" s="452" t="s">
        <v>1</v>
      </c>
      <c r="BL18" s="121"/>
      <c r="BM18" s="431"/>
      <c r="BN18" s="471" t="s">
        <v>245</v>
      </c>
      <c r="BO18" s="452"/>
      <c r="BP18" s="121"/>
      <c r="BQ18" s="452"/>
      <c r="BR18" s="121"/>
      <c r="BS18" s="431"/>
      <c r="BT18" s="457" t="s">
        <v>245</v>
      </c>
      <c r="BU18" s="452"/>
      <c r="BV18" s="121"/>
      <c r="BW18" s="452"/>
      <c r="BX18" s="121"/>
      <c r="BY18" s="443"/>
    </row>
    <row r="19" spans="1:77" ht="15.5" x14ac:dyDescent="0.25">
      <c r="A19" s="61"/>
      <c r="B19" s="60"/>
      <c r="C19" s="60"/>
      <c r="D19" s="60"/>
      <c r="E19" s="62"/>
      <c r="F19" s="62"/>
      <c r="G19" s="62"/>
      <c r="H19" s="62"/>
      <c r="I19" s="94"/>
      <c r="J19" s="94"/>
      <c r="K19" s="94"/>
      <c r="L19" s="94"/>
      <c r="M19" s="94"/>
      <c r="N19" s="94"/>
      <c r="O19" s="235" t="str">
        <f t="shared" si="0"/>
        <v xml:space="preserve"> </v>
      </c>
      <c r="P19" s="60"/>
      <c r="Q19" s="60"/>
      <c r="R19" s="60"/>
      <c r="S19" s="61"/>
      <c r="T19" s="60"/>
      <c r="U19" s="60"/>
      <c r="V19" s="60"/>
      <c r="W19" s="60"/>
      <c r="X19" s="60"/>
      <c r="Y19" s="60"/>
      <c r="Z19" s="60"/>
      <c r="AA19" s="60"/>
      <c r="AB19" s="60"/>
      <c r="AC19" s="12"/>
      <c r="AD19" s="170" t="s">
        <v>229</v>
      </c>
      <c r="AE19" s="171">
        <f t="shared" si="1"/>
        <v>0</v>
      </c>
      <c r="AF19" s="172">
        <f t="shared" si="2"/>
        <v>0</v>
      </c>
      <c r="AG19" s="173">
        <f t="shared" si="3"/>
        <v>0</v>
      </c>
      <c r="AH19" s="172">
        <f t="shared" si="4"/>
        <v>0</v>
      </c>
      <c r="AI19" s="100" t="s">
        <v>358</v>
      </c>
      <c r="AM19" s="363"/>
      <c r="AN19" s="336"/>
      <c r="AO19" s="314"/>
      <c r="AP19" s="308"/>
      <c r="AQ19" s="327"/>
      <c r="AR19" s="308"/>
      <c r="AS19" s="327"/>
      <c r="AT19" s="328"/>
      <c r="AU19" s="329"/>
      <c r="AV19" s="104"/>
      <c r="AW19" s="104"/>
      <c r="AX19" s="104"/>
      <c r="BB19" s="698" t="s">
        <v>148</v>
      </c>
      <c r="BC19" s="699"/>
      <c r="BD19" s="700"/>
      <c r="BF19" s="8"/>
      <c r="BG19" s="432"/>
      <c r="BH19" s="458" t="s">
        <v>249</v>
      </c>
      <c r="BI19" s="453" t="s">
        <v>1</v>
      </c>
      <c r="BJ19" s="120"/>
      <c r="BK19" s="453" t="s">
        <v>1</v>
      </c>
      <c r="BL19" s="120"/>
      <c r="BM19" s="431"/>
      <c r="BN19" s="472" t="s">
        <v>249</v>
      </c>
      <c r="BO19" s="453"/>
      <c r="BP19" s="120"/>
      <c r="BQ19" s="453"/>
      <c r="BR19" s="120"/>
      <c r="BS19" s="431"/>
      <c r="BT19" s="458" t="s">
        <v>249</v>
      </c>
      <c r="BU19" s="453"/>
      <c r="BV19" s="120"/>
      <c r="BW19" s="453"/>
      <c r="BX19" s="120"/>
      <c r="BY19" s="443"/>
    </row>
    <row r="20" spans="1:77" ht="16" thickBot="1" x14ac:dyDescent="0.3">
      <c r="A20" s="61"/>
      <c r="B20" s="60"/>
      <c r="C20" s="60"/>
      <c r="D20" s="60"/>
      <c r="E20" s="62"/>
      <c r="F20" s="62"/>
      <c r="G20" s="62"/>
      <c r="H20" s="62"/>
      <c r="I20" s="94"/>
      <c r="J20" s="93"/>
      <c r="K20" s="93"/>
      <c r="L20" s="93"/>
      <c r="M20" s="93"/>
      <c r="N20" s="93"/>
      <c r="O20" s="234" t="str">
        <f t="shared" si="0"/>
        <v xml:space="preserve"> </v>
      </c>
      <c r="P20" s="60"/>
      <c r="Q20" s="60"/>
      <c r="R20" s="60"/>
      <c r="S20" s="61"/>
      <c r="T20" s="60"/>
      <c r="U20" s="60"/>
      <c r="V20" s="60"/>
      <c r="W20" s="60"/>
      <c r="X20" s="60"/>
      <c r="Y20" s="60"/>
      <c r="Z20" s="60"/>
      <c r="AA20" s="60"/>
      <c r="AB20" s="60"/>
      <c r="AC20" s="12"/>
      <c r="AD20" s="170" t="s">
        <v>232</v>
      </c>
      <c r="AE20" s="171">
        <f t="shared" si="1"/>
        <v>0</v>
      </c>
      <c r="AF20" s="172">
        <f t="shared" si="2"/>
        <v>0</v>
      </c>
      <c r="AG20" s="173">
        <f t="shared" si="3"/>
        <v>0</v>
      </c>
      <c r="AH20" s="172">
        <f t="shared" si="4"/>
        <v>0</v>
      </c>
      <c r="AI20" s="103"/>
      <c r="AM20" s="363"/>
      <c r="AN20" s="808" t="s">
        <v>465</v>
      </c>
      <c r="AO20" s="319" t="s">
        <v>478</v>
      </c>
      <c r="AP20" s="296">
        <f>AI$47</f>
        <v>0</v>
      </c>
      <c r="AQ20" s="297">
        <f>AJ$47</f>
        <v>0</v>
      </c>
      <c r="AR20" s="296">
        <f>AK$47</f>
        <v>0</v>
      </c>
      <c r="AS20" s="297">
        <f>AL$47</f>
        <v>0</v>
      </c>
      <c r="AT20" s="298" t="s">
        <v>1</v>
      </c>
      <c r="AU20" s="120" t="s">
        <v>1</v>
      </c>
      <c r="AV20" s="105"/>
      <c r="AW20" s="105"/>
      <c r="AX20" s="105"/>
      <c r="BB20" s="773" t="s">
        <v>479</v>
      </c>
      <c r="BC20" s="774"/>
      <c r="BD20" s="775"/>
      <c r="BF20" s="8"/>
      <c r="BG20" s="432"/>
      <c r="BH20" s="457" t="s">
        <v>77</v>
      </c>
      <c r="BI20" s="452" t="s">
        <v>1</v>
      </c>
      <c r="BJ20" s="121"/>
      <c r="BK20" s="452" t="s">
        <v>1</v>
      </c>
      <c r="BL20" s="121"/>
      <c r="BM20" s="431"/>
      <c r="BN20" s="471" t="s">
        <v>77</v>
      </c>
      <c r="BO20" s="452"/>
      <c r="BP20" s="121"/>
      <c r="BQ20" s="452"/>
      <c r="BR20" s="121"/>
      <c r="BS20" s="431"/>
      <c r="BT20" s="457" t="s">
        <v>77</v>
      </c>
      <c r="BU20" s="452"/>
      <c r="BV20" s="121"/>
      <c r="BW20" s="452"/>
      <c r="BX20" s="121"/>
      <c r="BY20" s="443"/>
    </row>
    <row r="21" spans="1:77" ht="13" x14ac:dyDescent="0.25">
      <c r="A21" s="61"/>
      <c r="B21" s="60"/>
      <c r="C21" s="60"/>
      <c r="D21" s="60"/>
      <c r="E21" s="62"/>
      <c r="F21" s="62"/>
      <c r="G21" s="62"/>
      <c r="H21" s="62"/>
      <c r="I21" s="94"/>
      <c r="J21" s="94"/>
      <c r="K21" s="94"/>
      <c r="L21" s="94"/>
      <c r="M21" s="94"/>
      <c r="N21" s="94"/>
      <c r="O21" s="235" t="str">
        <f t="shared" si="0"/>
        <v xml:space="preserve"> </v>
      </c>
      <c r="P21" s="60"/>
      <c r="Q21" s="60"/>
      <c r="R21" s="60"/>
      <c r="S21" s="61"/>
      <c r="T21" s="60"/>
      <c r="U21" s="60"/>
      <c r="V21" s="60"/>
      <c r="W21" s="60"/>
      <c r="X21" s="60"/>
      <c r="Y21" s="60"/>
      <c r="Z21" s="60"/>
      <c r="AA21" s="60"/>
      <c r="AB21" s="60"/>
      <c r="AC21" s="12"/>
      <c r="AD21" s="170" t="s">
        <v>44</v>
      </c>
      <c r="AE21" s="171">
        <f t="shared" si="1"/>
        <v>0</v>
      </c>
      <c r="AF21" s="172">
        <f t="shared" si="2"/>
        <v>0</v>
      </c>
      <c r="AG21" s="173">
        <f t="shared" si="3"/>
        <v>0</v>
      </c>
      <c r="AH21" s="172">
        <f t="shared" si="4"/>
        <v>0</v>
      </c>
      <c r="AI21" s="99" t="s">
        <v>480</v>
      </c>
      <c r="AM21" s="363"/>
      <c r="AN21" s="808"/>
      <c r="AO21" s="293" t="s">
        <v>467</v>
      </c>
      <c r="AP21" s="299"/>
      <c r="AQ21" s="300"/>
      <c r="AR21" s="299"/>
      <c r="AS21" s="300"/>
      <c r="AT21" s="316" t="s">
        <v>1</v>
      </c>
      <c r="AU21" s="172" t="s">
        <v>1</v>
      </c>
      <c r="AV21" s="98"/>
      <c r="AW21" s="98"/>
      <c r="AX21" s="98"/>
      <c r="BB21" s="810" t="s">
        <v>166</v>
      </c>
      <c r="BC21" s="221" t="s">
        <v>167</v>
      </c>
      <c r="BD21" s="221" t="s">
        <v>168</v>
      </c>
      <c r="BF21" s="8"/>
      <c r="BG21" s="432"/>
      <c r="BH21" s="458" t="s">
        <v>256</v>
      </c>
      <c r="BI21" s="453" t="s">
        <v>1</v>
      </c>
      <c r="BJ21" s="120"/>
      <c r="BK21" s="453" t="s">
        <v>1</v>
      </c>
      <c r="BL21" s="120"/>
      <c r="BM21" s="431"/>
      <c r="BN21" s="472" t="s">
        <v>256</v>
      </c>
      <c r="BO21" s="453"/>
      <c r="BP21" s="120"/>
      <c r="BQ21" s="453"/>
      <c r="BR21" s="120"/>
      <c r="BS21" s="431"/>
      <c r="BT21" s="458" t="s">
        <v>256</v>
      </c>
      <c r="BU21" s="453"/>
      <c r="BV21" s="120"/>
      <c r="BW21" s="453"/>
      <c r="BX21" s="120"/>
      <c r="BY21" s="443"/>
    </row>
    <row r="22" spans="1:77" ht="13.5" thickBot="1" x14ac:dyDescent="0.3">
      <c r="A22" s="61"/>
      <c r="B22" s="60"/>
      <c r="C22" s="60"/>
      <c r="D22" s="60"/>
      <c r="E22" s="62"/>
      <c r="F22" s="62"/>
      <c r="G22" s="62"/>
      <c r="H22" s="62"/>
      <c r="I22" s="94"/>
      <c r="J22" s="93"/>
      <c r="K22" s="93"/>
      <c r="L22" s="93"/>
      <c r="M22" s="93"/>
      <c r="N22" s="93"/>
      <c r="O22" s="234" t="str">
        <f t="shared" si="0"/>
        <v xml:space="preserve"> </v>
      </c>
      <c r="P22" s="60"/>
      <c r="Q22" s="60"/>
      <c r="R22" s="60"/>
      <c r="S22" s="61"/>
      <c r="T22" s="60"/>
      <c r="U22" s="60"/>
      <c r="V22" s="60"/>
      <c r="W22" s="60"/>
      <c r="X22" s="60"/>
      <c r="Y22" s="60"/>
      <c r="Z22" s="60"/>
      <c r="AA22" s="60"/>
      <c r="AB22" s="60"/>
      <c r="AC22" s="12"/>
      <c r="AD22" s="170" t="s">
        <v>236</v>
      </c>
      <c r="AE22" s="171">
        <f>COUNTIFS($W$3:$W$157,"Y",$R$3:$R$157,"H",$A$3:$A$157,$AW18)</f>
        <v>0</v>
      </c>
      <c r="AF22" s="172">
        <f>SUMIFS($H$3:$H$157,$A$3:$A$157,$AW18,$W$3:$W$157,"Y",$R$3:$R$157,"H")</f>
        <v>0</v>
      </c>
      <c r="AG22" s="173">
        <f>COUNTIFS($W$3:$W$157,"Y",$R$3:$R$157,"L",$A$3:$A$157,$AW18)</f>
        <v>0</v>
      </c>
      <c r="AH22" s="172">
        <f>SUMIFS($H$3:$H$157,$A$3:$A$157,$AW18,$W$3:$W$157,"Y",$R$3:$R$157,"L")</f>
        <v>0</v>
      </c>
      <c r="AI22" s="99"/>
      <c r="AM22" s="363"/>
      <c r="AN22" s="808"/>
      <c r="AO22" s="313" t="s">
        <v>471</v>
      </c>
      <c r="AP22" s="296"/>
      <c r="AQ22" s="297"/>
      <c r="AR22" s="296"/>
      <c r="AS22" s="297"/>
      <c r="AT22" s="317" t="s">
        <v>1</v>
      </c>
      <c r="AU22" s="318" t="s">
        <v>1</v>
      </c>
      <c r="AV22" s="16"/>
      <c r="AW22" s="16"/>
      <c r="AX22" s="16"/>
      <c r="BB22" s="811"/>
      <c r="BC22" s="222" t="s">
        <v>173</v>
      </c>
      <c r="BD22" s="222" t="s">
        <v>173</v>
      </c>
      <c r="BF22" s="8"/>
      <c r="BG22" s="432"/>
      <c r="BH22" s="457" t="s">
        <v>260</v>
      </c>
      <c r="BI22" s="452" t="s">
        <v>1</v>
      </c>
      <c r="BJ22" s="121"/>
      <c r="BK22" s="452" t="s">
        <v>1</v>
      </c>
      <c r="BL22" s="121"/>
      <c r="BM22" s="431"/>
      <c r="BN22" s="471" t="s">
        <v>260</v>
      </c>
      <c r="BO22" s="452"/>
      <c r="BP22" s="121"/>
      <c r="BQ22" s="452"/>
      <c r="BR22" s="121"/>
      <c r="BS22" s="431"/>
      <c r="BT22" s="457" t="s">
        <v>260</v>
      </c>
      <c r="BU22" s="452"/>
      <c r="BV22" s="121"/>
      <c r="BW22" s="452"/>
      <c r="BX22" s="121"/>
      <c r="BY22" s="443"/>
    </row>
    <row r="23" spans="1:77" ht="13.5" thickBot="1" x14ac:dyDescent="0.3">
      <c r="A23" s="61"/>
      <c r="B23" s="60"/>
      <c r="C23" s="60"/>
      <c r="D23" s="60"/>
      <c r="E23" s="62"/>
      <c r="F23" s="62"/>
      <c r="G23" s="62"/>
      <c r="H23" s="62"/>
      <c r="I23" s="94"/>
      <c r="J23" s="94"/>
      <c r="K23" s="94"/>
      <c r="L23" s="94"/>
      <c r="M23" s="94"/>
      <c r="N23" s="94"/>
      <c r="O23" s="235" t="str">
        <f t="shared" si="0"/>
        <v xml:space="preserve"> </v>
      </c>
      <c r="P23" s="60"/>
      <c r="Q23" s="60"/>
      <c r="R23" s="60"/>
      <c r="S23" s="61"/>
      <c r="T23" s="60"/>
      <c r="U23" s="60"/>
      <c r="V23" s="60"/>
      <c r="W23" s="60"/>
      <c r="X23" s="60"/>
      <c r="Y23" s="60"/>
      <c r="Z23" s="60"/>
      <c r="AA23" s="60"/>
      <c r="AB23" s="60"/>
      <c r="AC23" s="12"/>
      <c r="AD23" s="174" t="s">
        <v>163</v>
      </c>
      <c r="AE23" s="175">
        <f>COUNTIFS($W$3:$W$157,"Y",$R$3:$R$157,"H",$A$3:$A$157,$AW19)</f>
        <v>0</v>
      </c>
      <c r="AF23" s="176">
        <f>SUMIFS($H$3:$H$157,$A$3:$A$157,$AW19,$W$3:$W$157,"Y",$R$3:$R$157,"H")</f>
        <v>0</v>
      </c>
      <c r="AG23" s="177">
        <f>COUNTIFS($W$3:$W$157,"Y",$R$3:$R$157,"L",$A$3:$A$157,$AW19)</f>
        <v>0</v>
      </c>
      <c r="AH23" s="176">
        <f>SUMIFS($H$3:$H$157,$A$3:$A$157,$AW19,$W$3:$W$157,"Y",$R$3:$R$157,"L")</f>
        <v>0</v>
      </c>
      <c r="AI23" s="99"/>
      <c r="AM23" s="363"/>
      <c r="AN23" s="808"/>
      <c r="AO23" s="293" t="s">
        <v>475</v>
      </c>
      <c r="AP23" s="299"/>
      <c r="AQ23" s="300"/>
      <c r="AR23" s="299"/>
      <c r="AS23" s="300"/>
      <c r="AT23" s="316" t="s">
        <v>1</v>
      </c>
      <c r="AU23" s="172" t="s">
        <v>1</v>
      </c>
      <c r="AV23" s="101"/>
      <c r="AW23" s="101"/>
      <c r="AX23" s="101"/>
      <c r="BB23" s="223" t="s">
        <v>358</v>
      </c>
      <c r="BC23" s="224" t="e">
        <f>SUMIFS($I$3:$I$147,#REF!,$BB23,$Q$3:$Q$147,"H",$V$3:$V$147,"Y")</f>
        <v>#REF!</v>
      </c>
      <c r="BD23" s="225" t="e">
        <f>SUMIFS($I$3:$I$147,#REF!,$BB23,$Q$3:$Q$147,"L",$V$3:$V$147,"Y")</f>
        <v>#REF!</v>
      </c>
      <c r="BF23" s="8"/>
      <c r="BG23" s="432"/>
      <c r="BH23" s="458" t="s">
        <v>264</v>
      </c>
      <c r="BI23" s="453" t="s">
        <v>1</v>
      </c>
      <c r="BJ23" s="120"/>
      <c r="BK23" s="453" t="s">
        <v>1</v>
      </c>
      <c r="BL23" s="120"/>
      <c r="BM23" s="431"/>
      <c r="BN23" s="472" t="s">
        <v>264</v>
      </c>
      <c r="BO23" s="453"/>
      <c r="BP23" s="120"/>
      <c r="BQ23" s="453"/>
      <c r="BR23" s="120"/>
      <c r="BS23" s="431"/>
      <c r="BT23" s="458" t="s">
        <v>264</v>
      </c>
      <c r="BU23" s="453"/>
      <c r="BV23" s="120"/>
      <c r="BW23" s="453"/>
      <c r="BX23" s="120"/>
      <c r="BY23" s="443"/>
    </row>
    <row r="24" spans="1:77" ht="14" thickTop="1" thickBot="1" x14ac:dyDescent="0.3">
      <c r="A24" s="61"/>
      <c r="B24" s="60"/>
      <c r="C24" s="60"/>
      <c r="D24" s="60"/>
      <c r="E24" s="62"/>
      <c r="F24" s="62"/>
      <c r="G24" s="62"/>
      <c r="H24" s="62"/>
      <c r="I24" s="94"/>
      <c r="J24" s="93"/>
      <c r="K24" s="93"/>
      <c r="L24" s="93"/>
      <c r="M24" s="93"/>
      <c r="N24" s="93"/>
      <c r="O24" s="234" t="str">
        <f t="shared" si="0"/>
        <v xml:space="preserve"> </v>
      </c>
      <c r="P24" s="60"/>
      <c r="Q24" s="60"/>
      <c r="R24" s="60"/>
      <c r="S24" s="61"/>
      <c r="T24" s="60"/>
      <c r="U24" s="60"/>
      <c r="V24" s="60"/>
      <c r="W24" s="60"/>
      <c r="X24" s="60"/>
      <c r="Y24" s="60"/>
      <c r="Z24" s="60"/>
      <c r="AA24" s="60"/>
      <c r="AB24" s="60"/>
      <c r="AC24" s="12"/>
      <c r="AD24" s="178" t="s">
        <v>181</v>
      </c>
      <c r="AE24" s="179">
        <f>SUM(AE15:AE23)</f>
        <v>0</v>
      </c>
      <c r="AF24" s="180">
        <f>SUM(AF15:AF23)</f>
        <v>0</v>
      </c>
      <c r="AG24" s="181">
        <f>SUM(AG15:AG23)</f>
        <v>0</v>
      </c>
      <c r="AH24" s="180">
        <f>SUM(AH15:AH23)</f>
        <v>0</v>
      </c>
      <c r="AI24" s="99"/>
      <c r="AJ24" s="99"/>
      <c r="AK24" s="99"/>
      <c r="AL24" s="99"/>
      <c r="AM24" s="363"/>
      <c r="AN24" s="808"/>
      <c r="AO24" s="313" t="s">
        <v>476</v>
      </c>
      <c r="AP24" s="296"/>
      <c r="AQ24" s="297"/>
      <c r="AR24" s="296"/>
      <c r="AS24" s="297"/>
      <c r="AT24" s="317" t="s">
        <v>1</v>
      </c>
      <c r="AU24" s="318" t="s">
        <v>1</v>
      </c>
      <c r="AV24" s="102"/>
      <c r="AW24" s="102"/>
      <c r="AX24" s="102"/>
      <c r="BB24" s="226" t="s">
        <v>75</v>
      </c>
      <c r="BC24" s="227" t="e">
        <f>SUMIFS($I$3:$I$147,#REF!,$BB24,$Q$3:$Q$147,"H",$V$3:$V$147,"Y")</f>
        <v>#REF!</v>
      </c>
      <c r="BD24" s="228" t="e">
        <f>SUMIFS($I$3:$I$147,#REF!,$BB24,$Q$3:$Q$147,"L",$V$3:$V$147,"Y")</f>
        <v>#REF!</v>
      </c>
      <c r="BF24" s="8"/>
      <c r="BG24" s="432"/>
      <c r="BH24" s="457" t="s">
        <v>269</v>
      </c>
      <c r="BI24" s="452" t="s">
        <v>1</v>
      </c>
      <c r="BJ24" s="121"/>
      <c r="BK24" s="452" t="s">
        <v>1</v>
      </c>
      <c r="BL24" s="121"/>
      <c r="BM24" s="431"/>
      <c r="BN24" s="471" t="s">
        <v>269</v>
      </c>
      <c r="BO24" s="452"/>
      <c r="BP24" s="121"/>
      <c r="BQ24" s="452"/>
      <c r="BR24" s="121"/>
      <c r="BS24" s="431"/>
      <c r="BT24" s="457" t="s">
        <v>269</v>
      </c>
      <c r="BU24" s="452"/>
      <c r="BV24" s="121"/>
      <c r="BW24" s="452"/>
      <c r="BX24" s="121"/>
      <c r="BY24" s="443"/>
    </row>
    <row r="25" spans="1:77" ht="13.5" thickBot="1" x14ac:dyDescent="0.3">
      <c r="A25" s="61"/>
      <c r="B25" s="60"/>
      <c r="C25" s="60"/>
      <c r="D25" s="60"/>
      <c r="E25" s="62"/>
      <c r="F25" s="62"/>
      <c r="G25" s="62"/>
      <c r="H25" s="62"/>
      <c r="I25" s="94"/>
      <c r="J25" s="94"/>
      <c r="K25" s="94"/>
      <c r="L25" s="94"/>
      <c r="M25" s="94"/>
      <c r="N25" s="94"/>
      <c r="O25" s="235" t="str">
        <f t="shared" si="0"/>
        <v xml:space="preserve"> </v>
      </c>
      <c r="P25" s="60"/>
      <c r="Q25" s="60"/>
      <c r="R25" s="60"/>
      <c r="S25" s="61"/>
      <c r="T25" s="60"/>
      <c r="U25" s="60"/>
      <c r="V25" s="60"/>
      <c r="W25" s="60"/>
      <c r="X25" s="60"/>
      <c r="Y25" s="60"/>
      <c r="Z25" s="60"/>
      <c r="AA25" s="60"/>
      <c r="AB25" s="60"/>
      <c r="AC25" s="12"/>
      <c r="AI25" s="99"/>
      <c r="AJ25" s="99"/>
      <c r="AK25" s="99"/>
      <c r="AL25" s="99"/>
      <c r="AM25" s="363"/>
      <c r="AN25" s="808"/>
      <c r="AO25" s="293" t="s">
        <v>477</v>
      </c>
      <c r="AP25" s="299"/>
      <c r="AQ25" s="300"/>
      <c r="AR25" s="299"/>
      <c r="AS25" s="300"/>
      <c r="AT25" s="316" t="s">
        <v>1</v>
      </c>
      <c r="AU25" s="172" t="s">
        <v>1</v>
      </c>
      <c r="AV25" s="104"/>
      <c r="AW25" s="104"/>
      <c r="AX25" s="104"/>
      <c r="BB25" s="226" t="s">
        <v>65</v>
      </c>
      <c r="BC25" s="227" t="e">
        <f>SUMIFS($I$3:$I$147,#REF!,$BB25,$V$3:$V$147,"Y",$Q$3:$Q$147,"H")</f>
        <v>#REF!</v>
      </c>
      <c r="BD25" s="228" t="e">
        <f>SUMIFS($I$3:$I$147,#REF!,$BB25,$V$3:$V$147,"Y",$Q$3:$Q$147,"L")</f>
        <v>#REF!</v>
      </c>
      <c r="BF25" s="8"/>
      <c r="BG25" s="432"/>
      <c r="BH25" s="458" t="s">
        <v>272</v>
      </c>
      <c r="BI25" s="453" t="s">
        <v>1</v>
      </c>
      <c r="BJ25" s="120"/>
      <c r="BK25" s="453" t="s">
        <v>1</v>
      </c>
      <c r="BL25" s="120"/>
      <c r="BM25" s="431"/>
      <c r="BN25" s="472" t="s">
        <v>272</v>
      </c>
      <c r="BO25" s="453"/>
      <c r="BP25" s="120"/>
      <c r="BQ25" s="453"/>
      <c r="BR25" s="120"/>
      <c r="BS25" s="431"/>
      <c r="BT25" s="458" t="s">
        <v>272</v>
      </c>
      <c r="BU25" s="453"/>
      <c r="BV25" s="120"/>
      <c r="BW25" s="453"/>
      <c r="BX25" s="120"/>
      <c r="BY25" s="443"/>
    </row>
    <row r="26" spans="1:77" ht="16" thickBot="1" x14ac:dyDescent="0.3">
      <c r="A26" s="61"/>
      <c r="B26" s="60"/>
      <c r="C26" s="60"/>
      <c r="D26" s="60"/>
      <c r="E26" s="62"/>
      <c r="F26" s="62"/>
      <c r="G26" s="62"/>
      <c r="H26" s="62"/>
      <c r="I26" s="94"/>
      <c r="J26" s="93"/>
      <c r="K26" s="93"/>
      <c r="L26" s="93"/>
      <c r="M26" s="93"/>
      <c r="N26" s="93"/>
      <c r="O26" s="234" t="str">
        <f t="shared" si="0"/>
        <v xml:space="preserve"> </v>
      </c>
      <c r="P26" s="60"/>
      <c r="Q26" s="60"/>
      <c r="R26" s="60"/>
      <c r="S26" s="61"/>
      <c r="T26" s="60"/>
      <c r="U26" s="60"/>
      <c r="V26" s="60"/>
      <c r="W26" s="60"/>
      <c r="X26" s="60"/>
      <c r="Y26" s="60"/>
      <c r="Z26" s="60"/>
      <c r="AA26" s="60"/>
      <c r="AB26" s="60"/>
      <c r="AC26" s="12"/>
      <c r="AD26" s="698" t="s">
        <v>148</v>
      </c>
      <c r="AE26" s="699"/>
      <c r="AF26" s="699"/>
      <c r="AG26" s="699"/>
      <c r="AH26" s="700"/>
      <c r="AM26" s="363"/>
      <c r="AN26" s="804"/>
      <c r="AO26" s="805"/>
      <c r="AP26" s="805"/>
      <c r="AQ26" s="805"/>
      <c r="AR26" s="805"/>
      <c r="AS26" s="805"/>
      <c r="AT26" s="805"/>
      <c r="AU26" s="806"/>
      <c r="AZ26" s="105"/>
      <c r="BA26" s="105"/>
      <c r="BB26" s="226" t="s">
        <v>50</v>
      </c>
      <c r="BC26" s="227" t="e">
        <f>SUMIFS($I$3:$I$147,#REF!,$BB26,$V$3:$V$147,"Y",$Q$3:$Q$147,"H")</f>
        <v>#REF!</v>
      </c>
      <c r="BD26" s="228" t="e">
        <f>SUMIFS($I$3:$I$147,#REF!,$BB26,$V$3:$V$147,"Y",$Q$3:$Q$147,"L")</f>
        <v>#REF!</v>
      </c>
      <c r="BF26" s="8"/>
      <c r="BG26" s="432"/>
      <c r="BH26" s="459" t="s">
        <v>45</v>
      </c>
      <c r="BI26" s="460" t="s">
        <v>1</v>
      </c>
      <c r="BJ26" s="461"/>
      <c r="BK26" s="460" t="s">
        <v>1</v>
      </c>
      <c r="BL26" s="461"/>
      <c r="BM26" s="462"/>
      <c r="BN26" s="473" t="s">
        <v>45</v>
      </c>
      <c r="BO26" s="460"/>
      <c r="BP26" s="461"/>
      <c r="BQ26" s="460"/>
      <c r="BR26" s="461"/>
      <c r="BS26" s="462"/>
      <c r="BT26" s="459" t="s">
        <v>45</v>
      </c>
      <c r="BU26" s="460"/>
      <c r="BV26" s="461"/>
      <c r="BW26" s="460"/>
      <c r="BX26" s="461"/>
      <c r="BY26" s="443"/>
    </row>
    <row r="27" spans="1:77" ht="16.5" thickTop="1" thickBot="1" x14ac:dyDescent="0.3">
      <c r="A27" s="61"/>
      <c r="B27" s="60"/>
      <c r="C27" s="60"/>
      <c r="D27" s="60"/>
      <c r="E27" s="62"/>
      <c r="F27" s="62"/>
      <c r="G27" s="62"/>
      <c r="H27" s="62"/>
      <c r="I27" s="94"/>
      <c r="J27" s="94"/>
      <c r="K27" s="94"/>
      <c r="L27" s="94"/>
      <c r="M27" s="94"/>
      <c r="N27" s="94"/>
      <c r="O27" s="235" t="str">
        <f t="shared" si="0"/>
        <v xml:space="preserve"> </v>
      </c>
      <c r="P27" s="60"/>
      <c r="Q27" s="60"/>
      <c r="R27" s="60"/>
      <c r="S27" s="61"/>
      <c r="T27" s="60"/>
      <c r="U27" s="60"/>
      <c r="V27" s="60"/>
      <c r="W27" s="60"/>
      <c r="X27" s="60"/>
      <c r="Y27" s="60"/>
      <c r="Z27" s="60"/>
      <c r="AA27" s="60"/>
      <c r="AB27" s="60"/>
      <c r="AC27" s="12"/>
      <c r="AD27" s="798" t="s">
        <v>204</v>
      </c>
      <c r="AE27" s="799"/>
      <c r="AF27" s="799"/>
      <c r="AG27" s="799"/>
      <c r="AH27" s="800"/>
      <c r="AM27" s="363"/>
      <c r="AN27" s="808" t="s">
        <v>465</v>
      </c>
      <c r="AO27" s="319" t="s">
        <v>467</v>
      </c>
      <c r="AP27" s="296">
        <f>AI$50</f>
        <v>0</v>
      </c>
      <c r="AQ27" s="297">
        <f>AJ$50</f>
        <v>0</v>
      </c>
      <c r="AR27" s="296">
        <f>AK$50</f>
        <v>0</v>
      </c>
      <c r="AS27" s="297">
        <f>AL$50</f>
        <v>0</v>
      </c>
      <c r="AT27" s="298" t="s">
        <v>1</v>
      </c>
      <c r="AU27" s="120" t="s">
        <v>1</v>
      </c>
      <c r="AZ27" s="98"/>
      <c r="BA27" s="98"/>
      <c r="BB27" s="226" t="s">
        <v>41</v>
      </c>
      <c r="BC27" s="227" t="e">
        <f>SUMIFS($I$3:$I$147,#REF!,$BB27,$V$3:$V$147,"Y",$Q$3:$Q$147,"H")</f>
        <v>#REF!</v>
      </c>
      <c r="BD27" s="228" t="e">
        <f>SUMIFS($I$3:$I$147,#REF!,$BB27,$V$3:$V$147,"Y",$Q$3:$Q$147,"L")</f>
        <v>#REF!</v>
      </c>
      <c r="BF27" s="8"/>
      <c r="BG27" s="432"/>
      <c r="BH27" s="469" t="s">
        <v>481</v>
      </c>
      <c r="BI27" s="464">
        <f>SUM(BI5:BI26)</f>
        <v>4</v>
      </c>
      <c r="BJ27" s="465">
        <f>SUM(BJ5:BJ26)</f>
        <v>32.4</v>
      </c>
      <c r="BK27" s="464">
        <f>SUM(BK5:BK26)</f>
        <v>0</v>
      </c>
      <c r="BL27" s="465">
        <f>SUM(BL5:BL26)</f>
        <v>0</v>
      </c>
      <c r="BM27" s="466"/>
      <c r="BN27" s="467" t="s">
        <v>481</v>
      </c>
      <c r="BO27" s="464"/>
      <c r="BP27" s="465"/>
      <c r="BQ27" s="464"/>
      <c r="BR27" s="465"/>
      <c r="BS27" s="466"/>
      <c r="BT27" s="467" t="s">
        <v>481</v>
      </c>
      <c r="BU27" s="464"/>
      <c r="BV27" s="465"/>
      <c r="BW27" s="464"/>
      <c r="BX27" s="465"/>
      <c r="BY27" s="443"/>
    </row>
    <row r="28" spans="1:77" ht="16" thickBot="1" x14ac:dyDescent="0.3">
      <c r="A28" s="61"/>
      <c r="B28" s="60"/>
      <c r="C28" s="60"/>
      <c r="D28" s="60"/>
      <c r="E28" s="62"/>
      <c r="F28" s="62"/>
      <c r="G28" s="62"/>
      <c r="H28" s="62"/>
      <c r="I28" s="94"/>
      <c r="J28" s="93"/>
      <c r="K28" s="93"/>
      <c r="L28" s="93"/>
      <c r="M28" s="93"/>
      <c r="N28" s="93"/>
      <c r="O28" s="234" t="str">
        <f t="shared" si="0"/>
        <v xml:space="preserve"> </v>
      </c>
      <c r="P28" s="60"/>
      <c r="Q28" s="60"/>
      <c r="R28" s="60"/>
      <c r="S28" s="61"/>
      <c r="T28" s="60"/>
      <c r="U28" s="60"/>
      <c r="V28" s="60"/>
      <c r="W28" s="60"/>
      <c r="X28" s="60"/>
      <c r="Y28" s="60"/>
      <c r="Z28" s="60"/>
      <c r="AA28" s="60"/>
      <c r="AB28" s="60"/>
      <c r="AC28" s="13"/>
      <c r="AD28" s="765" t="s">
        <v>482</v>
      </c>
      <c r="AE28" s="766"/>
      <c r="AF28" s="766"/>
      <c r="AG28" s="766"/>
      <c r="AH28" s="767"/>
      <c r="AM28" s="363"/>
      <c r="AN28" s="808"/>
      <c r="AO28" s="293" t="s">
        <v>466</v>
      </c>
      <c r="AP28" s="299"/>
      <c r="AQ28" s="300"/>
      <c r="AR28" s="299"/>
      <c r="AS28" s="300"/>
      <c r="AT28" s="316" t="s">
        <v>1</v>
      </c>
      <c r="AU28" s="172" t="s">
        <v>1</v>
      </c>
      <c r="AZ28" s="16"/>
      <c r="BA28" s="16"/>
      <c r="BB28" s="226" t="s">
        <v>56</v>
      </c>
      <c r="BC28" s="227" t="e">
        <f>SUMIFS($I$3:$I$147,#REF!,$BB28,$V$3:$V$147,"Y",$Q$3:$Q$147,"H")</f>
        <v>#REF!</v>
      </c>
      <c r="BD28" s="228" t="e">
        <f>SUMIFS($I$3:$I$147,#REF!,$BB28,$V$3:$V$147,"Y",$Q$3:$Q$147,"L")</f>
        <v>#REF!</v>
      </c>
      <c r="BF28" s="8"/>
      <c r="BG28" s="432"/>
      <c r="BH28" s="468"/>
      <c r="BI28" s="454"/>
      <c r="BJ28" s="455"/>
      <c r="BK28" s="454"/>
      <c r="BL28" s="455"/>
      <c r="BM28" s="431"/>
      <c r="BN28" s="794"/>
      <c r="BO28" s="794"/>
      <c r="BP28" s="794"/>
      <c r="BQ28" s="794"/>
      <c r="BR28" s="794"/>
      <c r="BS28" s="431"/>
      <c r="BT28" s="794"/>
      <c r="BU28" s="794"/>
      <c r="BV28" s="794"/>
      <c r="BW28" s="794"/>
      <c r="BX28" s="794"/>
      <c r="BY28" s="443"/>
    </row>
    <row r="29" spans="1:77" ht="13" x14ac:dyDescent="0.25">
      <c r="A29" s="61"/>
      <c r="B29" s="60"/>
      <c r="C29" s="60"/>
      <c r="D29" s="60"/>
      <c r="E29" s="62"/>
      <c r="F29" s="62"/>
      <c r="G29" s="62"/>
      <c r="H29" s="62"/>
      <c r="I29" s="94"/>
      <c r="J29" s="94"/>
      <c r="K29" s="94"/>
      <c r="L29" s="94"/>
      <c r="M29" s="94"/>
      <c r="N29" s="94"/>
      <c r="O29" s="235" t="str">
        <f t="shared" si="0"/>
        <v xml:space="preserve"> </v>
      </c>
      <c r="P29" s="60"/>
      <c r="Q29" s="60"/>
      <c r="R29" s="60"/>
      <c r="S29" s="61"/>
      <c r="T29" s="60"/>
      <c r="U29" s="60"/>
      <c r="V29" s="60"/>
      <c r="W29" s="60"/>
      <c r="X29" s="60"/>
      <c r="Y29" s="60"/>
      <c r="Z29" s="60"/>
      <c r="AA29" s="60"/>
      <c r="AB29" s="60"/>
      <c r="AC29" s="8"/>
      <c r="AD29" s="706" t="s">
        <v>166</v>
      </c>
      <c r="AE29" s="704" t="s">
        <v>167</v>
      </c>
      <c r="AF29" s="705"/>
      <c r="AG29" s="704" t="s">
        <v>168</v>
      </c>
      <c r="AH29" s="705"/>
      <c r="AM29" s="363"/>
      <c r="AN29" s="808"/>
      <c r="AO29" s="313" t="s">
        <v>478</v>
      </c>
      <c r="AP29" s="296"/>
      <c r="AQ29" s="297"/>
      <c r="AR29" s="296"/>
      <c r="AS29" s="297"/>
      <c r="AT29" s="317" t="s">
        <v>1</v>
      </c>
      <c r="AU29" s="318" t="s">
        <v>1</v>
      </c>
      <c r="AZ29" s="101"/>
      <c r="BA29" s="101"/>
      <c r="BB29" s="226" t="s">
        <v>143</v>
      </c>
      <c r="BC29" s="227" t="e">
        <f>SUMIFS($I$3:$I$147,#REF!,$BB29,$V$3:$V$147,"Y",$Q$3:$Q$147,"H")</f>
        <v>#REF!</v>
      </c>
      <c r="BD29" s="228" t="e">
        <f>SUMIFS($I$3:$I$147,#REF!,$BB29,$V$3:$V$147,"Y",$Q$3:$Q$147,"L")</f>
        <v>#REF!</v>
      </c>
      <c r="BF29" s="8"/>
      <c r="BG29" s="432"/>
      <c r="BH29" s="456" t="s">
        <v>222</v>
      </c>
      <c r="BI29" s="450">
        <f>COUNTIFS($D$3:$D$147,$BH29,$V$3:$V$147,"Y",$Q$3:$Q$147,"H")</f>
        <v>0</v>
      </c>
      <c r="BJ29" s="451">
        <f>SUMIFS($F$3:$F$147,$D$3:$D$147,$BH29,$Q$3:$Q$147,"H",$V$3:$V$147,"Y")</f>
        <v>0</v>
      </c>
      <c r="BK29" s="450">
        <f>COUNTIFS($D$3:$D$147,$BH29,$V$3:$V$147,"Y",$Q$3:$Q$147,"L")</f>
        <v>0</v>
      </c>
      <c r="BL29" s="451">
        <f>SUMIFS($F$3:$F$147,$D$3:$D$147,$BH29,$Q$3:$Q$147,"L",$V$3:$V$147,"Y")</f>
        <v>0</v>
      </c>
      <c r="BM29" s="431"/>
      <c r="BN29" s="470" t="s">
        <v>229</v>
      </c>
      <c r="BO29" s="450">
        <f>COUNTIFS($D$3:$D$147,$BN29,$V$3:$V$147,"Y",$Q$3:$Q$147,"H")</f>
        <v>0</v>
      </c>
      <c r="BP29" s="451">
        <f>SUMIFS($F$3:$F$147,$D$3:$D$147,$BN29,$Q$3:$Q$147,"H",$V$3:$V$147,"Y")</f>
        <v>0</v>
      </c>
      <c r="BQ29" s="450">
        <f>COUNTIFS($D$3:$D$147,$BN29,$V$3:$V$147,"Y",$Q$3:$Q$147,"L")</f>
        <v>0</v>
      </c>
      <c r="BR29" s="451">
        <f>SUMIFS($F$3:$F$147,$D$3:$D$147,$BN29,$Q$3:$Q$147,"L",$V$3:$V$147,"Y")</f>
        <v>0</v>
      </c>
      <c r="BS29" s="431"/>
      <c r="BT29" s="456" t="s">
        <v>236</v>
      </c>
      <c r="BU29" s="450">
        <f>COUNTIFS($D$3:$D$147,$BT29,$V$3:$V$147,"Y",$Q$3:$Q$147,"H")</f>
        <v>0</v>
      </c>
      <c r="BV29" s="451">
        <f>SUMIFS($F$3:$F$147,$D$3:$D$147,$BT29,$Q$3:$Q$147,"H",$V$3:$V$147,"Y")</f>
        <v>0</v>
      </c>
      <c r="BW29" s="450">
        <f>COUNTIFS($D$3:$D$147,$BT29,$V$3:$V$147,"Y",$Q$3:$Q$147,"L")</f>
        <v>0</v>
      </c>
      <c r="BX29" s="451">
        <f>SUMIFS($F$3:$F$147,$D$3:$D$147,$BT29,$Q$3:$Q$147,"L",$V$3:$V$147,"Y")</f>
        <v>0</v>
      </c>
      <c r="BY29" s="443"/>
    </row>
    <row r="30" spans="1:77" ht="13.5" thickBot="1" x14ac:dyDescent="0.3">
      <c r="A30" s="61"/>
      <c r="B30" s="60"/>
      <c r="C30" s="60"/>
      <c r="D30" s="60"/>
      <c r="E30" s="62"/>
      <c r="F30" s="62"/>
      <c r="G30" s="62"/>
      <c r="H30" s="62"/>
      <c r="I30" s="94"/>
      <c r="J30" s="93"/>
      <c r="K30" s="93"/>
      <c r="L30" s="93"/>
      <c r="M30" s="93"/>
      <c r="N30" s="93"/>
      <c r="O30" s="234" t="str">
        <f t="shared" si="0"/>
        <v xml:space="preserve"> </v>
      </c>
      <c r="P30" s="60"/>
      <c r="Q30" s="60"/>
      <c r="R30" s="60"/>
      <c r="S30" s="61"/>
      <c r="T30" s="60"/>
      <c r="U30" s="60"/>
      <c r="V30" s="60"/>
      <c r="W30" s="60"/>
      <c r="X30" s="60"/>
      <c r="Y30" s="60"/>
      <c r="Z30" s="60"/>
      <c r="AA30" s="60"/>
      <c r="AB30" s="60"/>
      <c r="AC30" s="8"/>
      <c r="AD30" s="707"/>
      <c r="AE30" s="168" t="s">
        <v>172</v>
      </c>
      <c r="AF30" s="169" t="s">
        <v>173</v>
      </c>
      <c r="AG30" s="182" t="s">
        <v>172</v>
      </c>
      <c r="AH30" s="169" t="s">
        <v>173</v>
      </c>
      <c r="AM30" s="363"/>
      <c r="AN30" s="808"/>
      <c r="AO30" s="293" t="s">
        <v>469</v>
      </c>
      <c r="AP30" s="299"/>
      <c r="AQ30" s="300"/>
      <c r="AR30" s="299"/>
      <c r="AS30" s="300"/>
      <c r="AT30" s="316" t="s">
        <v>1</v>
      </c>
      <c r="AU30" s="172" t="s">
        <v>1</v>
      </c>
      <c r="AZ30" s="102"/>
      <c r="BA30" s="102"/>
      <c r="BB30" s="229" t="s">
        <v>217</v>
      </c>
      <c r="BC30" s="230" t="e">
        <f>SUMIFS($I$3:$I$147,#REF!,$BB30,$V$3:$V$147,"Y",$Q$3:$Q$147,"H")</f>
        <v>#REF!</v>
      </c>
      <c r="BD30" s="231" t="e">
        <f>SUMIFS($I$3:$I$147,#REF!,$BB30,$V$3:$V$147,"Y",$Q$3:$Q$147,"L")</f>
        <v>#REF!</v>
      </c>
      <c r="BF30" s="8"/>
      <c r="BG30" s="432"/>
      <c r="BH30" s="457" t="s">
        <v>220</v>
      </c>
      <c r="BI30" s="452"/>
      <c r="BJ30" s="121"/>
      <c r="BK30" s="452"/>
      <c r="BL30" s="121"/>
      <c r="BM30" s="431"/>
      <c r="BN30" s="471" t="s">
        <v>220</v>
      </c>
      <c r="BO30" s="452"/>
      <c r="BP30" s="121"/>
      <c r="BQ30" s="452"/>
      <c r="BR30" s="121"/>
      <c r="BS30" s="431"/>
      <c r="BT30" s="457" t="s">
        <v>220</v>
      </c>
      <c r="BU30" s="452"/>
      <c r="BV30" s="121"/>
      <c r="BW30" s="452"/>
      <c r="BX30" s="121"/>
      <c r="BY30" s="443"/>
    </row>
    <row r="31" spans="1:77" ht="13.5" thickBot="1" x14ac:dyDescent="0.3">
      <c r="A31" s="61"/>
      <c r="B31" s="60"/>
      <c r="C31" s="60"/>
      <c r="D31" s="60"/>
      <c r="E31" s="62"/>
      <c r="F31" s="62"/>
      <c r="G31" s="62"/>
      <c r="H31" s="62"/>
      <c r="I31" s="94"/>
      <c r="J31" s="94"/>
      <c r="K31" s="94"/>
      <c r="L31" s="94"/>
      <c r="M31" s="94"/>
      <c r="N31" s="94"/>
      <c r="O31" s="235" t="str">
        <f t="shared" si="0"/>
        <v xml:space="preserve"> </v>
      </c>
      <c r="P31" s="60"/>
      <c r="Q31" s="60"/>
      <c r="R31" s="60"/>
      <c r="S31" s="61"/>
      <c r="T31" s="60"/>
      <c r="U31" s="60"/>
      <c r="V31" s="60"/>
      <c r="W31" s="60"/>
      <c r="X31" s="60"/>
      <c r="Y31" s="60"/>
      <c r="Z31" s="60"/>
      <c r="AA31" s="60"/>
      <c r="AB31" s="60"/>
      <c r="AC31" s="8"/>
      <c r="AD31" s="164" t="s">
        <v>65</v>
      </c>
      <c r="AE31" s="165" t="e">
        <f>COUNTIFS(#REF!,$AD15,#REF!,"&lt;&gt;",#REF!,$AD31,$V$3:$V$147,"Y",$Q$3:$Q$147,"H")</f>
        <v>#REF!</v>
      </c>
      <c r="AF31" s="166" t="e">
        <f>SUMIFS($J$3:$J$147,#REF!,$AD31,$V$3:$V$147,"Y",$Q$3:$Q$147,"H")</f>
        <v>#REF!</v>
      </c>
      <c r="AG31" s="165" t="e">
        <f>COUNTIFS(#REF!,"&lt;&gt;",#REF!,$AD$31,$V$3:$V$147,"Y",$Q$3:$Q$147,"L")</f>
        <v>#REF!</v>
      </c>
      <c r="AH31" s="166" t="e">
        <f>SUMIFS(#REF!,$A$3:$A$157,$AW27,$W$3:$W$157, "Y",$R$3:$R$157,"L")</f>
        <v>#REF!</v>
      </c>
      <c r="AM31" s="363"/>
      <c r="AN31" s="808"/>
      <c r="AO31" s="313" t="s">
        <v>471</v>
      </c>
      <c r="AP31" s="296"/>
      <c r="AQ31" s="297"/>
      <c r="AR31" s="296"/>
      <c r="AS31" s="297"/>
      <c r="AT31" s="317" t="s">
        <v>1</v>
      </c>
      <c r="AU31" s="318" t="s">
        <v>1</v>
      </c>
      <c r="AZ31" s="104"/>
      <c r="BA31" s="104"/>
      <c r="BB31" s="198" t="s">
        <v>181</v>
      </c>
      <c r="BC31" s="232" t="e">
        <f>SUM(BC23:BC30)</f>
        <v>#REF!</v>
      </c>
      <c r="BD31" s="232" t="e">
        <f>SUM(BD23:BD30)</f>
        <v>#REF!</v>
      </c>
      <c r="BF31" s="8"/>
      <c r="BG31" s="432"/>
      <c r="BH31" s="458" t="s">
        <v>224</v>
      </c>
      <c r="BI31" s="453"/>
      <c r="BJ31" s="120"/>
      <c r="BK31" s="453"/>
      <c r="BL31" s="120"/>
      <c r="BM31" s="431"/>
      <c r="BN31" s="472" t="s">
        <v>222</v>
      </c>
      <c r="BO31" s="453"/>
      <c r="BP31" s="120"/>
      <c r="BQ31" s="453"/>
      <c r="BR31" s="120"/>
      <c r="BS31" s="431"/>
      <c r="BT31" s="458" t="s">
        <v>222</v>
      </c>
      <c r="BU31" s="453"/>
      <c r="BV31" s="120"/>
      <c r="BW31" s="453"/>
      <c r="BX31" s="120"/>
      <c r="BY31" s="443"/>
    </row>
    <row r="32" spans="1:77" ht="13" x14ac:dyDescent="0.25">
      <c r="A32" s="61"/>
      <c r="B32" s="60"/>
      <c r="C32" s="60"/>
      <c r="D32" s="60"/>
      <c r="E32" s="62"/>
      <c r="F32" s="62"/>
      <c r="G32" s="62"/>
      <c r="H32" s="62"/>
      <c r="I32" s="94"/>
      <c r="J32" s="93"/>
      <c r="K32" s="93"/>
      <c r="L32" s="93"/>
      <c r="M32" s="93"/>
      <c r="N32" s="93"/>
      <c r="O32" s="234" t="str">
        <f t="shared" si="0"/>
        <v xml:space="preserve"> </v>
      </c>
      <c r="P32" s="60"/>
      <c r="Q32" s="60"/>
      <c r="R32" s="60"/>
      <c r="S32" s="61"/>
      <c r="T32" s="60"/>
      <c r="U32" s="60"/>
      <c r="V32" s="60"/>
      <c r="W32" s="60"/>
      <c r="X32" s="60"/>
      <c r="Y32" s="60"/>
      <c r="Z32" s="60"/>
      <c r="AA32" s="60"/>
      <c r="AB32" s="60"/>
      <c r="AC32" s="8"/>
      <c r="AD32" s="170" t="s">
        <v>50</v>
      </c>
      <c r="AE32" s="171" t="e">
        <f>COUNTIFS(#REF!,"&lt;&gt;",#REF!,$AD32,$V$3:$V$147,"Y",$Q$3:$Q$147,"H")</f>
        <v>#REF!</v>
      </c>
      <c r="AF32" s="172"/>
      <c r="AG32" s="171"/>
      <c r="AH32" s="172"/>
      <c r="AM32" s="363"/>
      <c r="AN32" s="808"/>
      <c r="AO32" s="293" t="s">
        <v>472</v>
      </c>
      <c r="AP32" s="299"/>
      <c r="AQ32" s="300"/>
      <c r="AR32" s="299"/>
      <c r="AS32" s="300"/>
      <c r="AT32" s="316" t="s">
        <v>1</v>
      </c>
      <c r="AU32" s="172" t="s">
        <v>1</v>
      </c>
      <c r="BF32" s="8"/>
      <c r="BG32" s="432"/>
      <c r="BH32" s="457" t="s">
        <v>227</v>
      </c>
      <c r="BI32" s="452"/>
      <c r="BJ32" s="121"/>
      <c r="BK32" s="452"/>
      <c r="BL32" s="121"/>
      <c r="BM32" s="431"/>
      <c r="BN32" s="471" t="s">
        <v>224</v>
      </c>
      <c r="BO32" s="452"/>
      <c r="BP32" s="121"/>
      <c r="BQ32" s="452"/>
      <c r="BR32" s="121"/>
      <c r="BS32" s="431"/>
      <c r="BT32" s="457" t="s">
        <v>224</v>
      </c>
      <c r="BU32" s="452"/>
      <c r="BV32" s="121"/>
      <c r="BW32" s="452"/>
      <c r="BX32" s="121"/>
      <c r="BY32" s="443"/>
    </row>
    <row r="33" spans="1:77" ht="13" x14ac:dyDescent="0.25">
      <c r="A33" s="61"/>
      <c r="B33" s="60"/>
      <c r="C33" s="60"/>
      <c r="D33" s="60"/>
      <c r="E33" s="62"/>
      <c r="F33" s="62"/>
      <c r="G33" s="62"/>
      <c r="H33" s="62"/>
      <c r="I33" s="94"/>
      <c r="J33" s="94"/>
      <c r="K33" s="94"/>
      <c r="L33" s="94"/>
      <c r="M33" s="94"/>
      <c r="N33" s="94"/>
      <c r="O33" s="235" t="str">
        <f t="shared" si="0"/>
        <v xml:space="preserve"> </v>
      </c>
      <c r="P33" s="60"/>
      <c r="Q33" s="60"/>
      <c r="R33" s="60"/>
      <c r="S33" s="61"/>
      <c r="T33" s="60"/>
      <c r="U33" s="60"/>
      <c r="V33" s="60"/>
      <c r="W33" s="60"/>
      <c r="X33" s="60"/>
      <c r="Y33" s="60"/>
      <c r="Z33" s="60"/>
      <c r="AA33" s="60"/>
      <c r="AB33" s="60"/>
      <c r="AC33" s="8"/>
      <c r="AD33" s="170" t="s">
        <v>56</v>
      </c>
      <c r="AE33" s="171" t="e">
        <f>COUNTIFS(#REF!,"&lt;&gt;",#REF!,$AD33,$V$3:$V$147,"Y",$Q$3:$Q$147,"H")</f>
        <v>#REF!</v>
      </c>
      <c r="AF33" s="172"/>
      <c r="AG33" s="171"/>
      <c r="AH33" s="172"/>
      <c r="AM33" s="363"/>
      <c r="AN33" s="808"/>
      <c r="AO33" s="313" t="s">
        <v>475</v>
      </c>
      <c r="AP33" s="296"/>
      <c r="AQ33" s="297"/>
      <c r="AR33" s="296"/>
      <c r="AS33" s="297"/>
      <c r="AT33" s="317" t="s">
        <v>1</v>
      </c>
      <c r="AU33" s="318" t="s">
        <v>1</v>
      </c>
      <c r="BF33" s="8"/>
      <c r="BG33" s="432"/>
      <c r="BH33" s="458" t="s">
        <v>229</v>
      </c>
      <c r="BI33" s="453"/>
      <c r="BJ33" s="120"/>
      <c r="BK33" s="453"/>
      <c r="BL33" s="120"/>
      <c r="BM33" s="431"/>
      <c r="BN33" s="472" t="s">
        <v>227</v>
      </c>
      <c r="BO33" s="453"/>
      <c r="BP33" s="120"/>
      <c r="BQ33" s="453"/>
      <c r="BR33" s="120"/>
      <c r="BS33" s="431"/>
      <c r="BT33" s="458" t="s">
        <v>227</v>
      </c>
      <c r="BU33" s="453"/>
      <c r="BV33" s="120"/>
      <c r="BW33" s="453"/>
      <c r="BX33" s="120"/>
      <c r="BY33" s="443"/>
    </row>
    <row r="34" spans="1:77" ht="13" x14ac:dyDescent="0.25">
      <c r="A34" s="61"/>
      <c r="B34" s="60"/>
      <c r="C34" s="60"/>
      <c r="D34" s="60"/>
      <c r="E34" s="62"/>
      <c r="F34" s="62"/>
      <c r="G34" s="62"/>
      <c r="H34" s="62"/>
      <c r="I34" s="94"/>
      <c r="J34" s="93"/>
      <c r="K34" s="93"/>
      <c r="L34" s="93"/>
      <c r="M34" s="93"/>
      <c r="N34" s="93"/>
      <c r="O34" s="234" t="str">
        <f t="shared" si="0"/>
        <v xml:space="preserve"> </v>
      </c>
      <c r="P34" s="60"/>
      <c r="Q34" s="60"/>
      <c r="R34" s="60"/>
      <c r="S34" s="61"/>
      <c r="T34" s="60"/>
      <c r="U34" s="60"/>
      <c r="V34" s="60"/>
      <c r="W34" s="60"/>
      <c r="X34" s="60"/>
      <c r="Y34" s="60"/>
      <c r="Z34" s="60"/>
      <c r="AA34" s="60"/>
      <c r="AB34" s="60"/>
      <c r="AC34" s="8"/>
      <c r="AD34" s="170" t="s">
        <v>143</v>
      </c>
      <c r="AE34" s="171" t="e">
        <f>COUNTIFS(#REF!,"&lt;&gt;",#REF!,$AD34,$V$3:$V$147,"Y",$Q$3:$Q$147,"H")</f>
        <v>#REF!</v>
      </c>
      <c r="AF34" s="172"/>
      <c r="AG34" s="171"/>
      <c r="AH34" s="172"/>
      <c r="AM34" s="363"/>
      <c r="AN34" s="808"/>
      <c r="AO34" s="293" t="s">
        <v>476</v>
      </c>
      <c r="AP34" s="299"/>
      <c r="AQ34" s="300"/>
      <c r="AR34" s="299"/>
      <c r="AS34" s="300"/>
      <c r="AT34" s="316" t="s">
        <v>1</v>
      </c>
      <c r="AU34" s="172" t="s">
        <v>1</v>
      </c>
      <c r="BF34" s="8"/>
      <c r="BG34" s="432"/>
      <c r="BH34" s="457" t="s">
        <v>232</v>
      </c>
      <c r="BI34" s="452"/>
      <c r="BJ34" s="121"/>
      <c r="BK34" s="452"/>
      <c r="BL34" s="121"/>
      <c r="BM34" s="431"/>
      <c r="BN34" s="471" t="s">
        <v>232</v>
      </c>
      <c r="BO34" s="452"/>
      <c r="BP34" s="121"/>
      <c r="BQ34" s="452"/>
      <c r="BR34" s="121"/>
      <c r="BS34" s="431"/>
      <c r="BT34" s="457" t="s">
        <v>229</v>
      </c>
      <c r="BU34" s="452"/>
      <c r="BV34" s="121"/>
      <c r="BW34" s="452"/>
      <c r="BX34" s="121"/>
      <c r="BY34" s="443"/>
    </row>
    <row r="35" spans="1:77" ht="13" x14ac:dyDescent="0.25">
      <c r="A35" s="61"/>
      <c r="B35" s="60"/>
      <c r="C35" s="60"/>
      <c r="D35" s="60"/>
      <c r="E35" s="62"/>
      <c r="F35" s="62"/>
      <c r="G35" s="62"/>
      <c r="H35" s="62"/>
      <c r="I35" s="94"/>
      <c r="J35" s="94"/>
      <c r="K35" s="94"/>
      <c r="L35" s="94"/>
      <c r="M35" s="94"/>
      <c r="N35" s="94"/>
      <c r="O35" s="235" t="str">
        <f t="shared" si="0"/>
        <v xml:space="preserve"> </v>
      </c>
      <c r="P35" s="60"/>
      <c r="Q35" s="60"/>
      <c r="R35" s="60"/>
      <c r="S35" s="61"/>
      <c r="T35" s="60"/>
      <c r="U35" s="60"/>
      <c r="V35" s="60"/>
      <c r="W35" s="60"/>
      <c r="X35" s="60"/>
      <c r="Y35" s="60"/>
      <c r="Z35" s="60"/>
      <c r="AA35" s="60"/>
      <c r="AB35" s="60"/>
      <c r="AC35" s="8"/>
      <c r="AD35" s="170" t="s">
        <v>358</v>
      </c>
      <c r="AE35" s="171"/>
      <c r="AF35" s="172"/>
      <c r="AG35" s="171"/>
      <c r="AH35" s="172"/>
      <c r="AL35" s="8"/>
      <c r="AM35" s="363"/>
      <c r="AN35" s="808"/>
      <c r="AO35" s="313"/>
      <c r="AP35" s="296"/>
      <c r="AQ35" s="297"/>
      <c r="AR35" s="296"/>
      <c r="AS35" s="297"/>
      <c r="AT35" s="317"/>
      <c r="AU35" s="318"/>
      <c r="BF35" s="8"/>
      <c r="BG35" s="432"/>
      <c r="BH35" s="458" t="s">
        <v>44</v>
      </c>
      <c r="BI35" s="453"/>
      <c r="BJ35" s="120"/>
      <c r="BK35" s="453"/>
      <c r="BL35" s="120"/>
      <c r="BM35" s="431"/>
      <c r="BN35" s="472" t="s">
        <v>44</v>
      </c>
      <c r="BO35" s="453"/>
      <c r="BP35" s="120"/>
      <c r="BQ35" s="453"/>
      <c r="BR35" s="120"/>
      <c r="BS35" s="431"/>
      <c r="BT35" s="458" t="s">
        <v>232</v>
      </c>
      <c r="BU35" s="453"/>
      <c r="BV35" s="120"/>
      <c r="BW35" s="453"/>
      <c r="BX35" s="120"/>
      <c r="BY35" s="443"/>
    </row>
    <row r="36" spans="1:77" ht="13" x14ac:dyDescent="0.25">
      <c r="A36" s="61"/>
      <c r="B36" s="60"/>
      <c r="C36" s="60"/>
      <c r="D36" s="60"/>
      <c r="E36" s="62"/>
      <c r="F36" s="62"/>
      <c r="G36" s="62"/>
      <c r="H36" s="62"/>
      <c r="I36" s="94"/>
      <c r="J36" s="93"/>
      <c r="K36" s="93"/>
      <c r="L36" s="93"/>
      <c r="M36" s="93"/>
      <c r="N36" s="93"/>
      <c r="O36" s="234" t="str">
        <f t="shared" si="0"/>
        <v xml:space="preserve"> </v>
      </c>
      <c r="P36" s="60"/>
      <c r="Q36" s="60"/>
      <c r="R36" s="60"/>
      <c r="S36" s="61"/>
      <c r="T36" s="60"/>
      <c r="U36" s="60"/>
      <c r="V36" s="60"/>
      <c r="W36" s="60"/>
      <c r="X36" s="60"/>
      <c r="Y36" s="60"/>
      <c r="Z36" s="60"/>
      <c r="AA36" s="60"/>
      <c r="AB36" s="60"/>
      <c r="AC36" s="8"/>
      <c r="AD36" s="170" t="s">
        <v>75</v>
      </c>
      <c r="AE36" s="171"/>
      <c r="AF36" s="172"/>
      <c r="AG36" s="171"/>
      <c r="AH36" s="172"/>
      <c r="AL36" s="8"/>
      <c r="AM36" s="363"/>
      <c r="AN36" s="804"/>
      <c r="AO36" s="805"/>
      <c r="AP36" s="805"/>
      <c r="AQ36" s="805"/>
      <c r="AR36" s="805"/>
      <c r="AS36" s="805"/>
      <c r="AT36" s="805"/>
      <c r="AU36" s="806"/>
      <c r="BF36" s="8"/>
      <c r="BG36" s="432"/>
      <c r="BH36" s="457" t="s">
        <v>236</v>
      </c>
      <c r="BI36" s="452"/>
      <c r="BJ36" s="121"/>
      <c r="BK36" s="452"/>
      <c r="BL36" s="121"/>
      <c r="BM36" s="431"/>
      <c r="BN36" s="471" t="s">
        <v>236</v>
      </c>
      <c r="BO36" s="452"/>
      <c r="BP36" s="121"/>
      <c r="BQ36" s="452"/>
      <c r="BR36" s="121"/>
      <c r="BS36" s="431"/>
      <c r="BT36" s="457" t="s">
        <v>44</v>
      </c>
      <c r="BU36" s="452"/>
      <c r="BV36" s="121"/>
      <c r="BW36" s="452"/>
      <c r="BX36" s="121"/>
      <c r="BY36" s="443"/>
    </row>
    <row r="37" spans="1:77" ht="13" x14ac:dyDescent="0.25">
      <c r="A37" s="61"/>
      <c r="B37" s="60"/>
      <c r="C37" s="60"/>
      <c r="D37" s="60"/>
      <c r="E37" s="62"/>
      <c r="F37" s="62"/>
      <c r="G37" s="62"/>
      <c r="H37" s="62"/>
      <c r="I37" s="94"/>
      <c r="J37" s="94"/>
      <c r="K37" s="94"/>
      <c r="L37" s="94"/>
      <c r="M37" s="94"/>
      <c r="N37" s="94"/>
      <c r="O37" s="235" t="str">
        <f t="shared" si="0"/>
        <v xml:space="preserve"> </v>
      </c>
      <c r="P37" s="60"/>
      <c r="Q37" s="60"/>
      <c r="R37" s="60"/>
      <c r="S37" s="61"/>
      <c r="T37" s="60"/>
      <c r="U37" s="60"/>
      <c r="V37" s="60"/>
      <c r="W37" s="60"/>
      <c r="X37" s="60"/>
      <c r="Y37" s="60"/>
      <c r="Z37" s="60"/>
      <c r="AA37" s="60"/>
      <c r="AB37" s="60"/>
      <c r="AC37" s="8"/>
      <c r="AD37" s="170" t="s">
        <v>217</v>
      </c>
      <c r="AE37" s="171"/>
      <c r="AF37" s="172"/>
      <c r="AG37" s="171"/>
      <c r="AH37" s="172"/>
      <c r="AL37" s="8"/>
      <c r="AM37" s="363"/>
      <c r="AN37" s="808" t="s">
        <v>465</v>
      </c>
      <c r="AO37" s="319" t="s">
        <v>468</v>
      </c>
      <c r="AP37" s="296">
        <f>AI$53</f>
        <v>0</v>
      </c>
      <c r="AQ37" s="297">
        <f>AJ$53</f>
        <v>0</v>
      </c>
      <c r="AR37" s="296">
        <f>AK$53</f>
        <v>0</v>
      </c>
      <c r="AS37" s="297">
        <f>AL$53</f>
        <v>0</v>
      </c>
      <c r="AT37" s="298" t="s">
        <v>1</v>
      </c>
      <c r="AU37" s="120" t="s">
        <v>1</v>
      </c>
      <c r="AZ37" s="8"/>
      <c r="BA37" s="8"/>
      <c r="BB37" s="8"/>
      <c r="BF37" s="8"/>
      <c r="BG37" s="432"/>
      <c r="BH37" s="458" t="s">
        <v>163</v>
      </c>
      <c r="BI37" s="453"/>
      <c r="BJ37" s="120"/>
      <c r="BK37" s="453"/>
      <c r="BL37" s="120"/>
      <c r="BM37" s="431"/>
      <c r="BN37" s="472" t="s">
        <v>163</v>
      </c>
      <c r="BO37" s="453"/>
      <c r="BP37" s="120"/>
      <c r="BQ37" s="453"/>
      <c r="BR37" s="120"/>
      <c r="BS37" s="431"/>
      <c r="BT37" s="458" t="s">
        <v>163</v>
      </c>
      <c r="BU37" s="453"/>
      <c r="BV37" s="120"/>
      <c r="BW37" s="453"/>
      <c r="BX37" s="120"/>
      <c r="BY37" s="443"/>
    </row>
    <row r="38" spans="1:77" ht="13" x14ac:dyDescent="0.25">
      <c r="A38" s="61"/>
      <c r="B38" s="60"/>
      <c r="C38" s="60"/>
      <c r="D38" s="60"/>
      <c r="E38" s="62"/>
      <c r="F38" s="62"/>
      <c r="G38" s="62"/>
      <c r="H38" s="62"/>
      <c r="I38" s="94"/>
      <c r="J38" s="93"/>
      <c r="K38" s="93"/>
      <c r="L38" s="93"/>
      <c r="M38" s="93"/>
      <c r="N38" s="93"/>
      <c r="O38" s="234" t="str">
        <f t="shared" si="0"/>
        <v xml:space="preserve"> </v>
      </c>
      <c r="P38" s="60"/>
      <c r="Q38" s="60"/>
      <c r="R38" s="60"/>
      <c r="S38" s="61"/>
      <c r="T38" s="60"/>
      <c r="U38" s="60"/>
      <c r="V38" s="60"/>
      <c r="W38" s="60"/>
      <c r="X38" s="60"/>
      <c r="Y38" s="60"/>
      <c r="Z38" s="60"/>
      <c r="AA38" s="60"/>
      <c r="AB38" s="60"/>
      <c r="AC38" s="8"/>
      <c r="AD38" s="170" t="s">
        <v>220</v>
      </c>
      <c r="AE38" s="171"/>
      <c r="AF38" s="172"/>
      <c r="AG38" s="171"/>
      <c r="AH38" s="172"/>
      <c r="AL38" s="8"/>
      <c r="AM38" s="363"/>
      <c r="AN38" s="808"/>
      <c r="AO38" s="293" t="s">
        <v>466</v>
      </c>
      <c r="AP38" s="299"/>
      <c r="AQ38" s="300"/>
      <c r="AR38" s="299"/>
      <c r="AS38" s="300"/>
      <c r="AT38" s="316" t="s">
        <v>1</v>
      </c>
      <c r="AU38" s="172" t="s">
        <v>1</v>
      </c>
      <c r="AZ38" s="7"/>
      <c r="BA38" s="7"/>
      <c r="BB38" s="8"/>
      <c r="BF38" s="8"/>
      <c r="BG38" s="432"/>
      <c r="BH38" s="457" t="s">
        <v>52</v>
      </c>
      <c r="BI38" s="452"/>
      <c r="BJ38" s="121"/>
      <c r="BK38" s="452"/>
      <c r="BL38" s="121"/>
      <c r="BM38" s="431"/>
      <c r="BN38" s="471" t="s">
        <v>52</v>
      </c>
      <c r="BO38" s="452"/>
      <c r="BP38" s="121"/>
      <c r="BQ38" s="452"/>
      <c r="BR38" s="121"/>
      <c r="BS38" s="431"/>
      <c r="BT38" s="457" t="s">
        <v>52</v>
      </c>
      <c r="BU38" s="452"/>
      <c r="BV38" s="121"/>
      <c r="BW38" s="452"/>
      <c r="BX38" s="121"/>
      <c r="BY38" s="443"/>
    </row>
    <row r="39" spans="1:77" ht="13" x14ac:dyDescent="0.25">
      <c r="A39" s="61"/>
      <c r="B39" s="60"/>
      <c r="C39" s="60"/>
      <c r="D39" s="60"/>
      <c r="E39" s="62"/>
      <c r="F39" s="62"/>
      <c r="G39" s="62"/>
      <c r="H39" s="62"/>
      <c r="I39" s="94"/>
      <c r="J39" s="94"/>
      <c r="K39" s="94"/>
      <c r="L39" s="94"/>
      <c r="M39" s="94"/>
      <c r="N39" s="94"/>
      <c r="O39" s="235" t="str">
        <f t="shared" si="0"/>
        <v xml:space="preserve"> </v>
      </c>
      <c r="P39" s="60"/>
      <c r="Q39" s="60"/>
      <c r="R39" s="60"/>
      <c r="S39" s="61"/>
      <c r="T39" s="60"/>
      <c r="U39" s="60"/>
      <c r="V39" s="60"/>
      <c r="W39" s="60"/>
      <c r="X39" s="60"/>
      <c r="Y39" s="60"/>
      <c r="Z39" s="60"/>
      <c r="AA39" s="60"/>
      <c r="AB39" s="60"/>
      <c r="AC39" s="8"/>
      <c r="AD39" s="170" t="s">
        <v>227</v>
      </c>
      <c r="AE39" s="171"/>
      <c r="AF39" s="172"/>
      <c r="AG39" s="171"/>
      <c r="AH39" s="172"/>
      <c r="AL39" s="8"/>
      <c r="AM39" s="363"/>
      <c r="AN39" s="808"/>
      <c r="AO39" s="313" t="s">
        <v>473</v>
      </c>
      <c r="AP39" s="296"/>
      <c r="AQ39" s="297"/>
      <c r="AR39" s="296"/>
      <c r="AS39" s="297"/>
      <c r="AT39" s="317" t="s">
        <v>1</v>
      </c>
      <c r="AU39" s="318" t="s">
        <v>1</v>
      </c>
      <c r="AZ39" s="1"/>
      <c r="BA39" s="1"/>
      <c r="BB39" s="9"/>
      <c r="BF39" s="8"/>
      <c r="BG39" s="432"/>
      <c r="BH39" s="458" t="s">
        <v>151</v>
      </c>
      <c r="BI39" s="453"/>
      <c r="BJ39" s="120"/>
      <c r="BK39" s="453"/>
      <c r="BL39" s="120"/>
      <c r="BM39" s="431"/>
      <c r="BN39" s="472" t="s">
        <v>151</v>
      </c>
      <c r="BO39" s="453"/>
      <c r="BP39" s="120"/>
      <c r="BQ39" s="453"/>
      <c r="BR39" s="120"/>
      <c r="BS39" s="431"/>
      <c r="BT39" s="458" t="s">
        <v>151</v>
      </c>
      <c r="BU39" s="453"/>
      <c r="BV39" s="120"/>
      <c r="BW39" s="453"/>
      <c r="BX39" s="120"/>
      <c r="BY39" s="443"/>
    </row>
    <row r="40" spans="1:77" ht="13" x14ac:dyDescent="0.25">
      <c r="A40" s="61"/>
      <c r="B40" s="60"/>
      <c r="C40" s="60"/>
      <c r="D40" s="60"/>
      <c r="E40" s="62"/>
      <c r="F40" s="62"/>
      <c r="G40" s="62"/>
      <c r="H40" s="62"/>
      <c r="I40" s="94"/>
      <c r="J40" s="93"/>
      <c r="K40" s="93"/>
      <c r="L40" s="93"/>
      <c r="M40" s="93"/>
      <c r="N40" s="93"/>
      <c r="O40" s="234" t="str">
        <f t="shared" ref="O40:O67" si="5">IF($E40&lt;=0, " ",IF($E40&lt;=0.25, "A",IF($E40&lt;10, "B",IF($E40&lt;100, "C", IF($E40&lt;300, "D",IF($E40&lt;1000, "E",IF($E40&lt;5000,"F",IF($E40&gt;=5000, "G"))))))))</f>
        <v xml:space="preserve"> </v>
      </c>
      <c r="P40" s="60"/>
      <c r="Q40" s="60"/>
      <c r="R40" s="60"/>
      <c r="S40" s="61"/>
      <c r="T40" s="60"/>
      <c r="U40" s="60"/>
      <c r="V40" s="60"/>
      <c r="W40" s="60"/>
      <c r="X40" s="60"/>
      <c r="Y40" s="60"/>
      <c r="Z40" s="60"/>
      <c r="AA40" s="60"/>
      <c r="AB40" s="60"/>
      <c r="AC40" s="8"/>
      <c r="AD40" s="170" t="s">
        <v>229</v>
      </c>
      <c r="AE40" s="171"/>
      <c r="AF40" s="172"/>
      <c r="AG40" s="171"/>
      <c r="AH40" s="172"/>
      <c r="AL40" s="8"/>
      <c r="AM40" s="363"/>
      <c r="AN40" s="808"/>
      <c r="AO40" s="293" t="s">
        <v>475</v>
      </c>
      <c r="AP40" s="299"/>
      <c r="AQ40" s="300"/>
      <c r="AR40" s="299"/>
      <c r="AS40" s="300"/>
      <c r="AT40" s="316" t="s">
        <v>1</v>
      </c>
      <c r="AU40" s="172" t="s">
        <v>1</v>
      </c>
      <c r="AZ40" s="10"/>
      <c r="BA40" s="10"/>
      <c r="BB40" s="10"/>
      <c r="BF40" s="8"/>
      <c r="BG40" s="432"/>
      <c r="BH40" s="457" t="s">
        <v>217</v>
      </c>
      <c r="BI40" s="452"/>
      <c r="BJ40" s="121"/>
      <c r="BK40" s="452"/>
      <c r="BL40" s="121"/>
      <c r="BM40" s="431"/>
      <c r="BN40" s="471" t="s">
        <v>217</v>
      </c>
      <c r="BO40" s="452"/>
      <c r="BP40" s="121"/>
      <c r="BQ40" s="452"/>
      <c r="BR40" s="121"/>
      <c r="BS40" s="431"/>
      <c r="BT40" s="457" t="s">
        <v>217</v>
      </c>
      <c r="BU40" s="452"/>
      <c r="BV40" s="121"/>
      <c r="BW40" s="452"/>
      <c r="BX40" s="121"/>
      <c r="BY40" s="443"/>
    </row>
    <row r="41" spans="1:77" ht="13" x14ac:dyDescent="0.25">
      <c r="A41" s="61"/>
      <c r="B41" s="60"/>
      <c r="C41" s="60"/>
      <c r="D41" s="60"/>
      <c r="E41" s="62"/>
      <c r="F41" s="62"/>
      <c r="G41" s="62"/>
      <c r="H41" s="62"/>
      <c r="I41" s="94"/>
      <c r="J41" s="94"/>
      <c r="K41" s="94"/>
      <c r="L41" s="94"/>
      <c r="M41" s="94"/>
      <c r="N41" s="94"/>
      <c r="O41" s="235" t="str">
        <f t="shared" si="5"/>
        <v xml:space="preserve"> </v>
      </c>
      <c r="P41" s="60"/>
      <c r="Q41" s="60"/>
      <c r="R41" s="60"/>
      <c r="S41" s="61"/>
      <c r="T41" s="60"/>
      <c r="U41" s="60"/>
      <c r="V41" s="60"/>
      <c r="W41" s="60"/>
      <c r="X41" s="60"/>
      <c r="Y41" s="60"/>
      <c r="Z41" s="60"/>
      <c r="AA41" s="60"/>
      <c r="AB41" s="60"/>
      <c r="AC41" s="8"/>
      <c r="AD41" s="170" t="s">
        <v>232</v>
      </c>
      <c r="AE41" s="171"/>
      <c r="AF41" s="172"/>
      <c r="AG41" s="171"/>
      <c r="AH41" s="172"/>
      <c r="AL41" s="8"/>
      <c r="AM41" s="363"/>
      <c r="AN41" s="808"/>
      <c r="AO41" s="313" t="s">
        <v>476</v>
      </c>
      <c r="AP41" s="296"/>
      <c r="AQ41" s="297"/>
      <c r="AR41" s="296"/>
      <c r="AS41" s="297"/>
      <c r="AT41" s="317" t="s">
        <v>1</v>
      </c>
      <c r="AU41" s="318" t="s">
        <v>1</v>
      </c>
      <c r="AZ41" s="10"/>
      <c r="BA41" s="10"/>
      <c r="BB41" s="10"/>
      <c r="BF41" s="8"/>
      <c r="BG41" s="432"/>
      <c r="BH41" s="458" t="s">
        <v>242</v>
      </c>
      <c r="BI41" s="453"/>
      <c r="BJ41" s="120"/>
      <c r="BK41" s="453"/>
      <c r="BL41" s="120"/>
      <c r="BM41" s="431"/>
      <c r="BN41" s="472" t="s">
        <v>242</v>
      </c>
      <c r="BO41" s="453"/>
      <c r="BP41" s="120"/>
      <c r="BQ41" s="453"/>
      <c r="BR41" s="120"/>
      <c r="BS41" s="431"/>
      <c r="BT41" s="458" t="s">
        <v>242</v>
      </c>
      <c r="BU41" s="453"/>
      <c r="BV41" s="120"/>
      <c r="BW41" s="453"/>
      <c r="BX41" s="120"/>
      <c r="BY41" s="443"/>
    </row>
    <row r="42" spans="1:77" ht="13" x14ac:dyDescent="0.25">
      <c r="A42" s="61"/>
      <c r="B42" s="60"/>
      <c r="C42" s="60"/>
      <c r="D42" s="60"/>
      <c r="E42" s="62"/>
      <c r="F42" s="62"/>
      <c r="G42" s="62"/>
      <c r="H42" s="62"/>
      <c r="I42" s="94"/>
      <c r="J42" s="93"/>
      <c r="K42" s="93"/>
      <c r="L42" s="93"/>
      <c r="M42" s="93"/>
      <c r="N42" s="93"/>
      <c r="O42" s="234" t="str">
        <f t="shared" si="5"/>
        <v xml:space="preserve"> </v>
      </c>
      <c r="P42" s="60"/>
      <c r="Q42" s="60"/>
      <c r="R42" s="60"/>
      <c r="S42" s="61"/>
      <c r="T42" s="60"/>
      <c r="U42" s="60"/>
      <c r="V42" s="60"/>
      <c r="W42" s="60"/>
      <c r="X42" s="60"/>
      <c r="Y42" s="60"/>
      <c r="Z42" s="60"/>
      <c r="AA42" s="60"/>
      <c r="AB42" s="60"/>
      <c r="AC42" s="8"/>
      <c r="AD42" s="170" t="s">
        <v>44</v>
      </c>
      <c r="AE42" s="171"/>
      <c r="AF42" s="172"/>
      <c r="AG42" s="171"/>
      <c r="AH42" s="172"/>
      <c r="AL42" s="8"/>
      <c r="AM42" s="363"/>
      <c r="AN42" s="808"/>
      <c r="AO42" s="293" t="s">
        <v>477</v>
      </c>
      <c r="AP42" s="299"/>
      <c r="AQ42" s="300"/>
      <c r="AR42" s="299"/>
      <c r="AS42" s="300"/>
      <c r="AT42" s="316" t="s">
        <v>1</v>
      </c>
      <c r="AU42" s="172" t="s">
        <v>1</v>
      </c>
      <c r="AZ42" s="10"/>
      <c r="BA42" s="10"/>
      <c r="BB42" s="10"/>
      <c r="BF42" s="8"/>
      <c r="BG42" s="432"/>
      <c r="BH42" s="457" t="s">
        <v>245</v>
      </c>
      <c r="BI42" s="452"/>
      <c r="BJ42" s="121"/>
      <c r="BK42" s="452"/>
      <c r="BL42" s="121"/>
      <c r="BM42" s="431"/>
      <c r="BN42" s="471" t="s">
        <v>245</v>
      </c>
      <c r="BO42" s="452"/>
      <c r="BP42" s="121"/>
      <c r="BQ42" s="452"/>
      <c r="BR42" s="121"/>
      <c r="BS42" s="431"/>
      <c r="BT42" s="457" t="s">
        <v>245</v>
      </c>
      <c r="BU42" s="452"/>
      <c r="BV42" s="121"/>
      <c r="BW42" s="452"/>
      <c r="BX42" s="121"/>
      <c r="BY42" s="443"/>
    </row>
    <row r="43" spans="1:77" ht="13" x14ac:dyDescent="0.25">
      <c r="A43" s="61"/>
      <c r="B43" s="60"/>
      <c r="C43" s="60"/>
      <c r="D43" s="60"/>
      <c r="E43" s="62"/>
      <c r="F43" s="62"/>
      <c r="G43" s="62"/>
      <c r="H43" s="62"/>
      <c r="I43" s="94"/>
      <c r="J43" s="94"/>
      <c r="K43" s="94"/>
      <c r="L43" s="94"/>
      <c r="M43" s="94"/>
      <c r="N43" s="94"/>
      <c r="O43" s="235" t="str">
        <f t="shared" si="5"/>
        <v xml:space="preserve"> </v>
      </c>
      <c r="P43" s="60"/>
      <c r="Q43" s="60"/>
      <c r="R43" s="60"/>
      <c r="S43" s="61"/>
      <c r="T43" s="60"/>
      <c r="U43" s="60"/>
      <c r="V43" s="60"/>
      <c r="W43" s="60"/>
      <c r="X43" s="60"/>
      <c r="Y43" s="60"/>
      <c r="Z43" s="60"/>
      <c r="AA43" s="60"/>
      <c r="AB43" s="60"/>
      <c r="AC43" s="8"/>
      <c r="AD43" s="170" t="s">
        <v>236</v>
      </c>
      <c r="AE43" s="171"/>
      <c r="AF43" s="172"/>
      <c r="AG43" s="171"/>
      <c r="AH43" s="172"/>
      <c r="AL43" s="8"/>
      <c r="AM43" s="363"/>
      <c r="AN43" s="804"/>
      <c r="AO43" s="805"/>
      <c r="AP43" s="805"/>
      <c r="AQ43" s="805"/>
      <c r="AR43" s="805"/>
      <c r="AS43" s="805"/>
      <c r="AT43" s="805"/>
      <c r="AU43" s="806"/>
      <c r="AZ43" s="10"/>
      <c r="BA43" s="10"/>
      <c r="BB43" s="10"/>
      <c r="BF43" s="8"/>
      <c r="BG43" s="432"/>
      <c r="BH43" s="458" t="s">
        <v>249</v>
      </c>
      <c r="BI43" s="453"/>
      <c r="BJ43" s="120"/>
      <c r="BK43" s="453"/>
      <c r="BL43" s="120"/>
      <c r="BM43" s="431"/>
      <c r="BN43" s="472" t="s">
        <v>249</v>
      </c>
      <c r="BO43" s="453"/>
      <c r="BP43" s="120"/>
      <c r="BQ43" s="453"/>
      <c r="BR43" s="120"/>
      <c r="BS43" s="431"/>
      <c r="BT43" s="458" t="s">
        <v>249</v>
      </c>
      <c r="BU43" s="453"/>
      <c r="BV43" s="120"/>
      <c r="BW43" s="453"/>
      <c r="BX43" s="120"/>
      <c r="BY43" s="443"/>
    </row>
    <row r="44" spans="1:77" ht="13.5" thickBot="1" x14ac:dyDescent="0.3">
      <c r="A44" s="61"/>
      <c r="B44" s="60"/>
      <c r="C44" s="60"/>
      <c r="D44" s="60"/>
      <c r="E44" s="62"/>
      <c r="F44" s="62"/>
      <c r="G44" s="62"/>
      <c r="H44" s="62"/>
      <c r="I44" s="94"/>
      <c r="J44" s="93"/>
      <c r="K44" s="93"/>
      <c r="L44" s="93"/>
      <c r="M44" s="93"/>
      <c r="N44" s="93"/>
      <c r="O44" s="234" t="str">
        <f t="shared" si="5"/>
        <v xml:space="preserve"> </v>
      </c>
      <c r="P44" s="60"/>
      <c r="Q44" s="60"/>
      <c r="R44" s="60"/>
      <c r="S44" s="61"/>
      <c r="T44" s="60"/>
      <c r="U44" s="60"/>
      <c r="V44" s="60"/>
      <c r="W44" s="60"/>
      <c r="X44" s="60"/>
      <c r="Y44" s="60"/>
      <c r="Z44" s="60"/>
      <c r="AA44" s="60"/>
      <c r="AB44" s="60"/>
      <c r="AC44" s="8"/>
      <c r="AD44" s="174" t="s">
        <v>163</v>
      </c>
      <c r="AE44" s="175"/>
      <c r="AF44" s="176"/>
      <c r="AG44" s="175"/>
      <c r="AH44" s="176"/>
      <c r="AL44" s="8"/>
      <c r="AM44" s="363"/>
      <c r="AN44" s="808" t="s">
        <v>465</v>
      </c>
      <c r="AO44" s="319" t="s">
        <v>469</v>
      </c>
      <c r="AP44" s="296">
        <f>AI$56</f>
        <v>0</v>
      </c>
      <c r="AQ44" s="297">
        <f>AJ$56</f>
        <v>0</v>
      </c>
      <c r="AR44" s="296">
        <f>AK$56</f>
        <v>0</v>
      </c>
      <c r="AS44" s="297">
        <f>AL$56</f>
        <v>0</v>
      </c>
      <c r="AT44" s="298" t="s">
        <v>1</v>
      </c>
      <c r="AU44" s="120" t="s">
        <v>1</v>
      </c>
      <c r="AZ44" s="10"/>
      <c r="BA44" s="10"/>
      <c r="BB44" s="11"/>
      <c r="BF44" s="8"/>
      <c r="BG44" s="432"/>
      <c r="BH44" s="457" t="s">
        <v>77</v>
      </c>
      <c r="BI44" s="452"/>
      <c r="BJ44" s="121"/>
      <c r="BK44" s="452"/>
      <c r="BL44" s="121"/>
      <c r="BM44" s="431"/>
      <c r="BN44" s="471" t="s">
        <v>77</v>
      </c>
      <c r="BO44" s="452"/>
      <c r="BP44" s="121"/>
      <c r="BQ44" s="452"/>
      <c r="BR44" s="121"/>
      <c r="BS44" s="431"/>
      <c r="BT44" s="457" t="s">
        <v>77</v>
      </c>
      <c r="BU44" s="452"/>
      <c r="BV44" s="121"/>
      <c r="BW44" s="452"/>
      <c r="BX44" s="121"/>
      <c r="BY44" s="443"/>
    </row>
    <row r="45" spans="1:77" ht="14" thickTop="1" thickBot="1" x14ac:dyDescent="0.3">
      <c r="A45" s="61"/>
      <c r="B45" s="60"/>
      <c r="C45" s="60"/>
      <c r="D45" s="60"/>
      <c r="E45" s="62"/>
      <c r="F45" s="62"/>
      <c r="G45" s="62"/>
      <c r="H45" s="62"/>
      <c r="I45" s="94"/>
      <c r="J45" s="94"/>
      <c r="K45" s="94"/>
      <c r="L45" s="94"/>
      <c r="M45" s="94"/>
      <c r="N45" s="94"/>
      <c r="O45" s="235" t="str">
        <f t="shared" si="5"/>
        <v xml:space="preserve"> </v>
      </c>
      <c r="P45" s="60"/>
      <c r="Q45" s="60"/>
      <c r="R45" s="60"/>
      <c r="S45" s="61"/>
      <c r="T45" s="60"/>
      <c r="U45" s="60"/>
      <c r="V45" s="60"/>
      <c r="W45" s="60"/>
      <c r="X45" s="60"/>
      <c r="Y45" s="60"/>
      <c r="Z45" s="60"/>
      <c r="AA45" s="60"/>
      <c r="AB45" s="60"/>
      <c r="AC45" s="8"/>
      <c r="AD45" s="178" t="s">
        <v>181</v>
      </c>
      <c r="AE45" s="189" t="e">
        <f>SUM(AE31:AE44)</f>
        <v>#REF!</v>
      </c>
      <c r="AF45" s="180" t="e">
        <f>SUM(AF31:AF44)</f>
        <v>#REF!</v>
      </c>
      <c r="AG45" s="359" t="e">
        <f>SUM(AG31:AG44)</f>
        <v>#REF!</v>
      </c>
      <c r="AH45" s="360" t="e">
        <f>SUM(AH31:AH44)</f>
        <v>#REF!</v>
      </c>
      <c r="AL45" s="8"/>
      <c r="AM45" s="363"/>
      <c r="AN45" s="808"/>
      <c r="AO45" s="293" t="s">
        <v>466</v>
      </c>
      <c r="AP45" s="299"/>
      <c r="AQ45" s="300"/>
      <c r="AR45" s="299"/>
      <c r="AS45" s="300"/>
      <c r="AT45" s="316" t="s">
        <v>1</v>
      </c>
      <c r="AU45" s="172" t="s">
        <v>1</v>
      </c>
      <c r="AZ45" s="1"/>
      <c r="BA45" s="1"/>
      <c r="BB45" s="12"/>
      <c r="BF45" s="8"/>
      <c r="BG45" s="432"/>
      <c r="BH45" s="458" t="s">
        <v>256</v>
      </c>
      <c r="BI45" s="453"/>
      <c r="BJ45" s="120"/>
      <c r="BK45" s="453"/>
      <c r="BL45" s="120"/>
      <c r="BM45" s="431"/>
      <c r="BN45" s="472" t="s">
        <v>256</v>
      </c>
      <c r="BO45" s="453"/>
      <c r="BP45" s="120"/>
      <c r="BQ45" s="453"/>
      <c r="BR45" s="120"/>
      <c r="BS45" s="431"/>
      <c r="BT45" s="458" t="s">
        <v>256</v>
      </c>
      <c r="BU45" s="453"/>
      <c r="BV45" s="120"/>
      <c r="BW45" s="453"/>
      <c r="BX45" s="120"/>
      <c r="BY45" s="443"/>
    </row>
    <row r="46" spans="1:77" ht="13.5" thickBot="1" x14ac:dyDescent="0.3">
      <c r="A46" s="61"/>
      <c r="B46" s="60"/>
      <c r="C46" s="60"/>
      <c r="D46" s="60"/>
      <c r="E46" s="62"/>
      <c r="F46" s="62"/>
      <c r="G46" s="62"/>
      <c r="H46" s="62"/>
      <c r="I46" s="94"/>
      <c r="J46" s="93"/>
      <c r="K46" s="93"/>
      <c r="L46" s="93"/>
      <c r="M46" s="93"/>
      <c r="N46" s="93"/>
      <c r="O46" s="234" t="str">
        <f t="shared" si="5"/>
        <v xml:space="preserve"> </v>
      </c>
      <c r="P46" s="60"/>
      <c r="Q46" s="60"/>
      <c r="R46" s="60"/>
      <c r="S46" s="61"/>
      <c r="T46" s="60"/>
      <c r="U46" s="60"/>
      <c r="V46" s="60"/>
      <c r="W46" s="60"/>
      <c r="X46" s="60"/>
      <c r="Y46" s="60"/>
      <c r="Z46" s="60"/>
      <c r="AA46" s="60"/>
      <c r="AB46" s="60"/>
      <c r="AC46" s="8"/>
      <c r="AL46" s="8"/>
      <c r="AM46" s="363"/>
      <c r="AN46" s="808"/>
      <c r="AO46" s="313" t="s">
        <v>467</v>
      </c>
      <c r="AP46" s="296"/>
      <c r="AQ46" s="297"/>
      <c r="AR46" s="296"/>
      <c r="AS46" s="297"/>
      <c r="AT46" s="317" t="s">
        <v>1</v>
      </c>
      <c r="AU46" s="318" t="s">
        <v>1</v>
      </c>
      <c r="AZ46" s="8"/>
      <c r="BA46" s="8"/>
      <c r="BB46" s="8"/>
      <c r="BF46" s="8"/>
      <c r="BG46" s="432"/>
      <c r="BH46" s="457" t="s">
        <v>260</v>
      </c>
      <c r="BI46" s="452"/>
      <c r="BJ46" s="121"/>
      <c r="BK46" s="452"/>
      <c r="BL46" s="121"/>
      <c r="BM46" s="431"/>
      <c r="BN46" s="471" t="s">
        <v>260</v>
      </c>
      <c r="BO46" s="452"/>
      <c r="BP46" s="121"/>
      <c r="BQ46" s="452"/>
      <c r="BR46" s="121"/>
      <c r="BS46" s="431"/>
      <c r="BT46" s="457" t="s">
        <v>260</v>
      </c>
      <c r="BU46" s="452"/>
      <c r="BV46" s="121"/>
      <c r="BW46" s="452"/>
      <c r="BX46" s="121"/>
      <c r="BY46" s="443"/>
    </row>
    <row r="47" spans="1:77" ht="15.5" x14ac:dyDescent="0.25">
      <c r="A47" s="61"/>
      <c r="B47" s="60"/>
      <c r="C47" s="60"/>
      <c r="D47" s="60"/>
      <c r="E47" s="62"/>
      <c r="F47" s="62"/>
      <c r="G47" s="62"/>
      <c r="H47" s="62"/>
      <c r="I47" s="94"/>
      <c r="J47" s="94"/>
      <c r="K47" s="94"/>
      <c r="L47" s="94"/>
      <c r="M47" s="94"/>
      <c r="N47" s="94"/>
      <c r="O47" s="235" t="str">
        <f t="shared" si="5"/>
        <v xml:space="preserve"> </v>
      </c>
      <c r="P47" s="60"/>
      <c r="Q47" s="60"/>
      <c r="R47" s="60"/>
      <c r="S47" s="61"/>
      <c r="T47" s="60"/>
      <c r="U47" s="60"/>
      <c r="V47" s="60"/>
      <c r="W47" s="60"/>
      <c r="X47" s="60"/>
      <c r="Y47" s="60"/>
      <c r="Z47" s="60"/>
      <c r="AA47" s="60"/>
      <c r="AB47" s="60"/>
      <c r="AC47" s="8"/>
      <c r="AD47" s="698" t="s">
        <v>148</v>
      </c>
      <c r="AE47" s="699"/>
      <c r="AF47" s="699"/>
      <c r="AG47" s="699"/>
      <c r="AH47" s="700"/>
      <c r="AL47" s="8"/>
      <c r="AM47" s="363"/>
      <c r="AN47" s="808"/>
      <c r="AO47" s="293" t="s">
        <v>472</v>
      </c>
      <c r="AP47" s="299"/>
      <c r="AQ47" s="300"/>
      <c r="AR47" s="299"/>
      <c r="AS47" s="300"/>
      <c r="AT47" s="316" t="s">
        <v>1</v>
      </c>
      <c r="AU47" s="172" t="s">
        <v>1</v>
      </c>
      <c r="BF47" s="8"/>
      <c r="BG47" s="432"/>
      <c r="BH47" s="458" t="s">
        <v>264</v>
      </c>
      <c r="BI47" s="453"/>
      <c r="BJ47" s="120"/>
      <c r="BK47" s="453"/>
      <c r="BL47" s="120"/>
      <c r="BM47" s="431"/>
      <c r="BN47" s="472" t="s">
        <v>264</v>
      </c>
      <c r="BO47" s="453"/>
      <c r="BP47" s="120"/>
      <c r="BQ47" s="453"/>
      <c r="BR47" s="120"/>
      <c r="BS47" s="431"/>
      <c r="BT47" s="458" t="s">
        <v>264</v>
      </c>
      <c r="BU47" s="453"/>
      <c r="BV47" s="120"/>
      <c r="BW47" s="453"/>
      <c r="BX47" s="120"/>
      <c r="BY47" s="443"/>
    </row>
    <row r="48" spans="1:77" ht="15.5" x14ac:dyDescent="0.25">
      <c r="A48" s="61"/>
      <c r="B48" s="60"/>
      <c r="C48" s="60"/>
      <c r="D48" s="60"/>
      <c r="E48" s="62"/>
      <c r="F48" s="62"/>
      <c r="G48" s="62"/>
      <c r="H48" s="62"/>
      <c r="I48" s="94"/>
      <c r="J48" s="93"/>
      <c r="K48" s="93"/>
      <c r="L48" s="93"/>
      <c r="M48" s="93"/>
      <c r="N48" s="93"/>
      <c r="O48" s="234" t="str">
        <f t="shared" si="5"/>
        <v xml:space="preserve"> </v>
      </c>
      <c r="P48" s="60"/>
      <c r="Q48" s="60"/>
      <c r="R48" s="60"/>
      <c r="S48" s="61"/>
      <c r="T48" s="60"/>
      <c r="U48" s="60"/>
      <c r="V48" s="60"/>
      <c r="W48" s="60"/>
      <c r="X48" s="60"/>
      <c r="Y48" s="60"/>
      <c r="Z48" s="60"/>
      <c r="AA48" s="60"/>
      <c r="AB48" s="60"/>
      <c r="AC48" s="8"/>
      <c r="AD48" s="798" t="s">
        <v>204</v>
      </c>
      <c r="AE48" s="799"/>
      <c r="AF48" s="799"/>
      <c r="AG48" s="799"/>
      <c r="AH48" s="800"/>
      <c r="AL48" s="8"/>
      <c r="AM48" s="363"/>
      <c r="AN48" s="808"/>
      <c r="AO48" s="313" t="s">
        <v>475</v>
      </c>
      <c r="AP48" s="296"/>
      <c r="AQ48" s="297"/>
      <c r="AR48" s="296"/>
      <c r="AS48" s="297"/>
      <c r="AT48" s="317" t="s">
        <v>1</v>
      </c>
      <c r="AU48" s="318" t="s">
        <v>1</v>
      </c>
      <c r="BF48" s="8"/>
      <c r="BG48" s="432"/>
      <c r="BH48" s="457" t="s">
        <v>269</v>
      </c>
      <c r="BI48" s="452"/>
      <c r="BJ48" s="121"/>
      <c r="BK48" s="452"/>
      <c r="BL48" s="121"/>
      <c r="BM48" s="431"/>
      <c r="BN48" s="471" t="s">
        <v>269</v>
      </c>
      <c r="BO48" s="452"/>
      <c r="BP48" s="121"/>
      <c r="BQ48" s="452"/>
      <c r="BR48" s="121"/>
      <c r="BS48" s="431"/>
      <c r="BT48" s="457" t="s">
        <v>269</v>
      </c>
      <c r="BU48" s="452"/>
      <c r="BV48" s="121"/>
      <c r="BW48" s="452"/>
      <c r="BX48" s="121"/>
      <c r="BY48" s="443"/>
    </row>
    <row r="49" spans="1:77" ht="16" thickBot="1" x14ac:dyDescent="0.3">
      <c r="A49" s="61"/>
      <c r="B49" s="60"/>
      <c r="C49" s="60"/>
      <c r="D49" s="60"/>
      <c r="E49" s="62"/>
      <c r="F49" s="62"/>
      <c r="G49" s="62"/>
      <c r="H49" s="62"/>
      <c r="I49" s="94"/>
      <c r="J49" s="94"/>
      <c r="K49" s="94"/>
      <c r="L49" s="94"/>
      <c r="M49" s="94"/>
      <c r="N49" s="94"/>
      <c r="O49" s="235" t="str">
        <f t="shared" si="5"/>
        <v xml:space="preserve"> </v>
      </c>
      <c r="P49" s="60"/>
      <c r="Q49" s="60"/>
      <c r="R49" s="60"/>
      <c r="S49" s="61"/>
      <c r="T49" s="60"/>
      <c r="U49" s="60"/>
      <c r="V49" s="60"/>
      <c r="W49" s="60"/>
      <c r="X49" s="60"/>
      <c r="Y49" s="60"/>
      <c r="Z49" s="60"/>
      <c r="AA49" s="60"/>
      <c r="AB49" s="60"/>
      <c r="AC49" s="8"/>
      <c r="AD49" s="765" t="s">
        <v>222</v>
      </c>
      <c r="AE49" s="766"/>
      <c r="AF49" s="766"/>
      <c r="AG49" s="766"/>
      <c r="AH49" s="767"/>
      <c r="AL49" s="8"/>
      <c r="AM49" s="363"/>
      <c r="AN49" s="808"/>
      <c r="AO49" s="293" t="s">
        <v>476</v>
      </c>
      <c r="AP49" s="299"/>
      <c r="AQ49" s="300"/>
      <c r="AR49" s="299"/>
      <c r="AS49" s="300"/>
      <c r="AT49" s="316" t="s">
        <v>1</v>
      </c>
      <c r="AU49" s="172" t="s">
        <v>1</v>
      </c>
      <c r="BF49" s="8"/>
      <c r="BG49" s="432"/>
      <c r="BH49" s="458" t="s">
        <v>272</v>
      </c>
      <c r="BI49" s="453"/>
      <c r="BJ49" s="120"/>
      <c r="BK49" s="453"/>
      <c r="BL49" s="120"/>
      <c r="BM49" s="431"/>
      <c r="BN49" s="472" t="s">
        <v>272</v>
      </c>
      <c r="BO49" s="453"/>
      <c r="BP49" s="120"/>
      <c r="BQ49" s="453"/>
      <c r="BR49" s="120"/>
      <c r="BS49" s="431"/>
      <c r="BT49" s="458" t="s">
        <v>272</v>
      </c>
      <c r="BU49" s="453"/>
      <c r="BV49" s="120"/>
      <c r="BW49" s="453"/>
      <c r="BX49" s="120"/>
      <c r="BY49" s="443"/>
    </row>
    <row r="50" spans="1:77" ht="13.5" thickBot="1" x14ac:dyDescent="0.3">
      <c r="A50" s="61"/>
      <c r="B50" s="60"/>
      <c r="C50" s="60"/>
      <c r="D50" s="60"/>
      <c r="E50" s="62"/>
      <c r="F50" s="62"/>
      <c r="G50" s="62"/>
      <c r="H50" s="62"/>
      <c r="I50" s="94"/>
      <c r="J50" s="93"/>
      <c r="K50" s="93"/>
      <c r="L50" s="93"/>
      <c r="M50" s="93"/>
      <c r="N50" s="93"/>
      <c r="O50" s="234" t="str">
        <f t="shared" si="5"/>
        <v xml:space="preserve"> </v>
      </c>
      <c r="P50" s="60"/>
      <c r="Q50" s="60"/>
      <c r="R50" s="60"/>
      <c r="S50" s="61"/>
      <c r="T50" s="60"/>
      <c r="U50" s="60"/>
      <c r="V50" s="60"/>
      <c r="W50" s="60"/>
      <c r="X50" s="60"/>
      <c r="Y50" s="60"/>
      <c r="Z50" s="60"/>
      <c r="AA50" s="60"/>
      <c r="AB50" s="60"/>
      <c r="AC50" s="8"/>
      <c r="AD50" s="706" t="s">
        <v>166</v>
      </c>
      <c r="AE50" s="704" t="s">
        <v>167</v>
      </c>
      <c r="AF50" s="705"/>
      <c r="AG50" s="704" t="s">
        <v>168</v>
      </c>
      <c r="AH50" s="705"/>
      <c r="AL50" s="8"/>
      <c r="AM50" s="363"/>
      <c r="AN50" s="808"/>
      <c r="AO50" s="313" t="s">
        <v>477</v>
      </c>
      <c r="AP50" s="296"/>
      <c r="AQ50" s="297"/>
      <c r="AR50" s="296"/>
      <c r="AS50" s="297"/>
      <c r="AT50" s="317"/>
      <c r="AU50" s="318"/>
      <c r="BF50" s="8"/>
      <c r="BG50" s="432"/>
      <c r="BH50" s="459" t="s">
        <v>45</v>
      </c>
      <c r="BI50" s="460"/>
      <c r="BJ50" s="461"/>
      <c r="BK50" s="460"/>
      <c r="BL50" s="461"/>
      <c r="BM50" s="462"/>
      <c r="BN50" s="473" t="s">
        <v>45</v>
      </c>
      <c r="BO50" s="460"/>
      <c r="BP50" s="461"/>
      <c r="BQ50" s="460"/>
      <c r="BR50" s="461"/>
      <c r="BS50" s="462"/>
      <c r="BT50" s="459" t="s">
        <v>45</v>
      </c>
      <c r="BU50" s="460"/>
      <c r="BV50" s="461"/>
      <c r="BW50" s="460"/>
      <c r="BX50" s="461"/>
      <c r="BY50" s="443"/>
    </row>
    <row r="51" spans="1:77" ht="14" thickTop="1" thickBot="1" x14ac:dyDescent="0.3">
      <c r="A51" s="61"/>
      <c r="B51" s="60"/>
      <c r="C51" s="60"/>
      <c r="D51" s="60"/>
      <c r="E51" s="62"/>
      <c r="F51" s="62"/>
      <c r="G51" s="62"/>
      <c r="H51" s="62"/>
      <c r="I51" s="94"/>
      <c r="J51" s="94"/>
      <c r="K51" s="94"/>
      <c r="L51" s="94"/>
      <c r="M51" s="94"/>
      <c r="N51" s="94"/>
      <c r="O51" s="235" t="str">
        <f t="shared" si="5"/>
        <v xml:space="preserve"> </v>
      </c>
      <c r="P51" s="60"/>
      <c r="Q51" s="60"/>
      <c r="R51" s="60"/>
      <c r="S51" s="61"/>
      <c r="T51" s="60"/>
      <c r="U51" s="60"/>
      <c r="V51" s="60"/>
      <c r="W51" s="60"/>
      <c r="X51" s="60"/>
      <c r="Y51" s="60"/>
      <c r="Z51" s="60"/>
      <c r="AA51" s="60"/>
      <c r="AB51" s="60"/>
      <c r="AC51" s="8"/>
      <c r="AD51" s="707"/>
      <c r="AE51" s="168" t="s">
        <v>172</v>
      </c>
      <c r="AF51" s="169" t="s">
        <v>173</v>
      </c>
      <c r="AG51" s="182" t="s">
        <v>172</v>
      </c>
      <c r="AH51" s="169" t="s">
        <v>173</v>
      </c>
      <c r="AL51" s="8"/>
      <c r="AM51" s="363"/>
      <c r="AN51" s="804"/>
      <c r="AO51" s="805"/>
      <c r="AP51" s="805"/>
      <c r="AQ51" s="805"/>
      <c r="AR51" s="805"/>
      <c r="AS51" s="805"/>
      <c r="AT51" s="805"/>
      <c r="AU51" s="806"/>
      <c r="BF51" s="8"/>
      <c r="BG51" s="432"/>
      <c r="BH51" s="469" t="s">
        <v>481</v>
      </c>
      <c r="BI51" s="464"/>
      <c r="BJ51" s="465"/>
      <c r="BK51" s="464"/>
      <c r="BL51" s="465"/>
      <c r="BM51" s="466"/>
      <c r="BN51" s="467" t="s">
        <v>481</v>
      </c>
      <c r="BO51" s="464"/>
      <c r="BP51" s="465"/>
      <c r="BQ51" s="464"/>
      <c r="BR51" s="465"/>
      <c r="BS51" s="466"/>
      <c r="BT51" s="467" t="s">
        <v>481</v>
      </c>
      <c r="BU51" s="464"/>
      <c r="BV51" s="465"/>
      <c r="BW51" s="464"/>
      <c r="BX51" s="465"/>
      <c r="BY51" s="443"/>
    </row>
    <row r="52" spans="1:77" ht="13.5" thickBot="1" x14ac:dyDescent="0.3">
      <c r="A52" s="61"/>
      <c r="B52" s="60"/>
      <c r="C52" s="60"/>
      <c r="D52" s="60"/>
      <c r="E52" s="62"/>
      <c r="F52" s="62"/>
      <c r="G52" s="62"/>
      <c r="H52" s="62"/>
      <c r="I52" s="94"/>
      <c r="J52" s="93"/>
      <c r="K52" s="93"/>
      <c r="L52" s="93"/>
      <c r="M52" s="93"/>
      <c r="N52" s="93"/>
      <c r="O52" s="234" t="str">
        <f t="shared" si="5"/>
        <v xml:space="preserve"> </v>
      </c>
      <c r="P52" s="60"/>
      <c r="Q52" s="60"/>
      <c r="R52" s="60"/>
      <c r="S52" s="61"/>
      <c r="T52" s="60"/>
      <c r="U52" s="60"/>
      <c r="V52" s="60"/>
      <c r="W52" s="60"/>
      <c r="X52" s="60"/>
      <c r="Y52" s="60"/>
      <c r="Z52" s="60"/>
      <c r="AA52" s="60"/>
      <c r="AB52" s="60"/>
      <c r="AC52" s="8"/>
      <c r="AD52" s="164" t="s">
        <v>56</v>
      </c>
      <c r="AE52" s="165"/>
      <c r="AF52" s="166"/>
      <c r="AG52" s="165"/>
      <c r="AH52" s="166"/>
      <c r="AL52" s="8"/>
      <c r="AM52" s="363"/>
      <c r="AN52" s="808" t="s">
        <v>465</v>
      </c>
      <c r="AO52" s="319" t="s">
        <v>471</v>
      </c>
      <c r="AP52" s="296">
        <f>AI$59</f>
        <v>0</v>
      </c>
      <c r="AQ52" s="297">
        <f>AJ$59</f>
        <v>0</v>
      </c>
      <c r="AR52" s="296">
        <f>AK$59</f>
        <v>0</v>
      </c>
      <c r="AS52" s="297">
        <f>AL$59</f>
        <v>0</v>
      </c>
      <c r="AT52" s="298" t="s">
        <v>1</v>
      </c>
      <c r="AU52" s="120" t="s">
        <v>1</v>
      </c>
      <c r="BF52" s="8"/>
      <c r="BG52" s="432"/>
      <c r="BH52" s="797"/>
      <c r="BI52" s="797"/>
      <c r="BJ52" s="797"/>
      <c r="BK52" s="797"/>
      <c r="BL52" s="797"/>
      <c r="BM52" s="431"/>
      <c r="BN52" s="795"/>
      <c r="BO52" s="795"/>
      <c r="BP52" s="795"/>
      <c r="BQ52" s="795"/>
      <c r="BR52" s="795"/>
      <c r="BS52" s="431"/>
      <c r="BT52" s="795"/>
      <c r="BU52" s="795"/>
      <c r="BV52" s="795"/>
      <c r="BW52" s="795"/>
      <c r="BX52" s="795"/>
      <c r="BY52" s="443"/>
    </row>
    <row r="53" spans="1:77" ht="13" x14ac:dyDescent="0.25">
      <c r="A53" s="61"/>
      <c r="B53" s="60"/>
      <c r="C53" s="60"/>
      <c r="D53" s="60"/>
      <c r="E53" s="62"/>
      <c r="F53" s="62"/>
      <c r="G53" s="62"/>
      <c r="H53" s="62"/>
      <c r="I53" s="94"/>
      <c r="J53" s="94"/>
      <c r="K53" s="94"/>
      <c r="L53" s="94"/>
      <c r="M53" s="94"/>
      <c r="N53" s="94"/>
      <c r="O53" s="235" t="str">
        <f t="shared" si="5"/>
        <v xml:space="preserve"> </v>
      </c>
      <c r="P53" s="60"/>
      <c r="Q53" s="60"/>
      <c r="R53" s="60"/>
      <c r="S53" s="61"/>
      <c r="T53" s="60"/>
      <c r="U53" s="60"/>
      <c r="V53" s="60"/>
      <c r="W53" s="60"/>
      <c r="X53" s="60"/>
      <c r="Y53" s="60"/>
      <c r="Z53" s="60"/>
      <c r="AA53" s="60"/>
      <c r="AB53" s="60"/>
      <c r="AC53" s="8"/>
      <c r="AD53" s="170" t="s">
        <v>358</v>
      </c>
      <c r="AE53" s="171"/>
      <c r="AF53" s="172"/>
      <c r="AG53" s="171"/>
      <c r="AH53" s="172"/>
      <c r="AL53" s="8"/>
      <c r="AM53" s="363"/>
      <c r="AN53" s="808"/>
      <c r="AO53" s="293" t="s">
        <v>466</v>
      </c>
      <c r="AP53" s="299"/>
      <c r="AQ53" s="300"/>
      <c r="AR53" s="299"/>
      <c r="AS53" s="300"/>
      <c r="AT53" s="316" t="s">
        <v>1</v>
      </c>
      <c r="AU53" s="172" t="s">
        <v>1</v>
      </c>
      <c r="BF53" s="8"/>
      <c r="BG53" s="432"/>
      <c r="BH53" s="456" t="s">
        <v>224</v>
      </c>
      <c r="BI53" s="450">
        <f>COUNTIFS($D$3:$D$147,$BH53,$V$3:$V$147,"Y",$Q$3:$Q$147,"H")</f>
        <v>0</v>
      </c>
      <c r="BJ53" s="451">
        <f>SUMIFS($F$3:$F$147,$D$3:$D$147,$BH53,$Q$3:$Q$147,"H",$V$3:$V$147,"Y")</f>
        <v>0</v>
      </c>
      <c r="BK53" s="450">
        <f>COUNTIFS($D$3:$D$147,$BH53,$V$3:$V$147,"Y",$Q$3:$Q$147,"L")</f>
        <v>0</v>
      </c>
      <c r="BL53" s="451">
        <f>SUMIFS($F$3:$F$147,$D$3:$D$147,$BH53,$Q$3:$Q$147,"L",$V$3:$V$147,"Y")</f>
        <v>0</v>
      </c>
      <c r="BM53" s="441"/>
      <c r="BN53" s="447" t="s">
        <v>232</v>
      </c>
      <c r="BO53" s="450">
        <f>COUNTIFS($D$3:$D$147,$BN53,$V$3:$V$147,"Y",$Q$3:$Q$147,"H")</f>
        <v>0</v>
      </c>
      <c r="BP53" s="451">
        <f>SUMIFS($F$3:$F$147,$D$3:$D$147,$BN53,$Q$3:$Q$147,"H",$V$3:$V$147,"Y")</f>
        <v>0</v>
      </c>
      <c r="BQ53" s="450">
        <f>COUNTIFS($D$3:$D$147,$BN53,$V$3:$V$147,"Y",$Q$3:$Q$147,"L")</f>
        <v>0</v>
      </c>
      <c r="BR53" s="451">
        <f>SUMIFS($F$3:$F$147,$D$3:$D$147,$BN53,$Q$3:$Q$147,"L",$V$3:$V$147,"Y")</f>
        <v>0</v>
      </c>
      <c r="BS53" s="441"/>
      <c r="BT53" s="456" t="s">
        <v>163</v>
      </c>
      <c r="BU53" s="450">
        <f>COUNTIFS($D$3:$D$147,$BT53,$V$3:$V$147,"Y",$Q$3:$Q$147,"H")</f>
        <v>0</v>
      </c>
      <c r="BV53" s="451">
        <f>SUMIFS($F$3:$F$147,$D$3:$D$147,$BT53,$Q$3:$Q$147,"H",$V$3:$V$147,"Y")</f>
        <v>0</v>
      </c>
      <c r="BW53" s="450">
        <f>COUNTIFS($D$3:$D$147,$BT53,$V$3:$V$147,"Y",$Q$3:$Q$147,"L")</f>
        <v>0</v>
      </c>
      <c r="BX53" s="451">
        <f>SUMIFS($F$3:$F$147,$D$3:$D$147,$BT53,$Q$3:$Q$147,"L",$V$3:$V$147,"Y")</f>
        <v>0</v>
      </c>
      <c r="BY53" s="443"/>
    </row>
    <row r="54" spans="1:77" ht="13" x14ac:dyDescent="0.25">
      <c r="A54" s="61"/>
      <c r="B54" s="60"/>
      <c r="C54" s="60"/>
      <c r="D54" s="60"/>
      <c r="E54" s="62"/>
      <c r="F54" s="62"/>
      <c r="G54" s="62"/>
      <c r="H54" s="62"/>
      <c r="I54" s="94"/>
      <c r="J54" s="93"/>
      <c r="K54" s="93"/>
      <c r="L54" s="93"/>
      <c r="M54" s="93"/>
      <c r="N54" s="93"/>
      <c r="O54" s="234" t="str">
        <f t="shared" si="5"/>
        <v xml:space="preserve"> </v>
      </c>
      <c r="P54" s="60"/>
      <c r="Q54" s="60"/>
      <c r="R54" s="60"/>
      <c r="S54" s="61"/>
      <c r="T54" s="60"/>
      <c r="U54" s="60"/>
      <c r="V54" s="60"/>
      <c r="W54" s="60"/>
      <c r="X54" s="60"/>
      <c r="Y54" s="60"/>
      <c r="Z54" s="60"/>
      <c r="AA54" s="60"/>
      <c r="AB54" s="60"/>
      <c r="AC54" s="8"/>
      <c r="AD54" s="170" t="s">
        <v>75</v>
      </c>
      <c r="AE54" s="171"/>
      <c r="AF54" s="172"/>
      <c r="AG54" s="171"/>
      <c r="AH54" s="172"/>
      <c r="AL54" s="8"/>
      <c r="AM54" s="363"/>
      <c r="AN54" s="808"/>
      <c r="AO54" s="313" t="s">
        <v>478</v>
      </c>
      <c r="AP54" s="296"/>
      <c r="AQ54" s="297"/>
      <c r="AR54" s="296"/>
      <c r="AS54" s="297"/>
      <c r="AT54" s="317" t="s">
        <v>1</v>
      </c>
      <c r="AU54" s="318" t="s">
        <v>1</v>
      </c>
      <c r="BF54" s="8"/>
      <c r="BG54" s="432"/>
      <c r="BH54" s="457" t="s">
        <v>220</v>
      </c>
      <c r="BI54" s="452"/>
      <c r="BJ54" s="121"/>
      <c r="BK54" s="452"/>
      <c r="BL54" s="121"/>
      <c r="BM54" s="431"/>
      <c r="BN54" s="448" t="s">
        <v>220</v>
      </c>
      <c r="BO54" s="452"/>
      <c r="BP54" s="121"/>
      <c r="BQ54" s="452"/>
      <c r="BR54" s="121"/>
      <c r="BS54" s="431"/>
      <c r="BT54" s="457" t="s">
        <v>220</v>
      </c>
      <c r="BU54" s="452"/>
      <c r="BV54" s="121"/>
      <c r="BW54" s="452"/>
      <c r="BX54" s="121"/>
      <c r="BY54" s="443"/>
    </row>
    <row r="55" spans="1:77" ht="13" x14ac:dyDescent="0.25">
      <c r="A55" s="61"/>
      <c r="B55" s="60"/>
      <c r="C55" s="60"/>
      <c r="D55" s="60"/>
      <c r="E55" s="62"/>
      <c r="F55" s="62"/>
      <c r="G55" s="62"/>
      <c r="H55" s="62"/>
      <c r="I55" s="94"/>
      <c r="J55" s="94"/>
      <c r="K55" s="94"/>
      <c r="L55" s="94"/>
      <c r="M55" s="94"/>
      <c r="N55" s="94"/>
      <c r="O55" s="235" t="str">
        <f t="shared" si="5"/>
        <v xml:space="preserve"> </v>
      </c>
      <c r="P55" s="60"/>
      <c r="Q55" s="60"/>
      <c r="R55" s="60"/>
      <c r="S55" s="61"/>
      <c r="T55" s="60"/>
      <c r="U55" s="60"/>
      <c r="V55" s="60"/>
      <c r="W55" s="60"/>
      <c r="X55" s="60"/>
      <c r="Y55" s="60"/>
      <c r="Z55" s="60"/>
      <c r="AA55" s="60"/>
      <c r="AB55" s="60"/>
      <c r="AC55" s="8"/>
      <c r="AD55" s="170" t="s">
        <v>217</v>
      </c>
      <c r="AE55" s="171"/>
      <c r="AF55" s="172"/>
      <c r="AG55" s="171"/>
      <c r="AH55" s="172"/>
      <c r="AL55" s="8"/>
      <c r="AM55" s="363"/>
      <c r="AN55" s="808"/>
      <c r="AO55" s="293" t="s">
        <v>467</v>
      </c>
      <c r="AP55" s="299"/>
      <c r="AQ55" s="300"/>
      <c r="AR55" s="299"/>
      <c r="AS55" s="300"/>
      <c r="AT55" s="316" t="s">
        <v>1</v>
      </c>
      <c r="AU55" s="172" t="s">
        <v>1</v>
      </c>
      <c r="BF55" s="8"/>
      <c r="BG55" s="432"/>
      <c r="BH55" s="458" t="s">
        <v>222</v>
      </c>
      <c r="BI55" s="453"/>
      <c r="BJ55" s="120"/>
      <c r="BK55" s="453"/>
      <c r="BL55" s="120"/>
      <c r="BM55" s="431"/>
      <c r="BN55" s="646" t="s">
        <v>222</v>
      </c>
      <c r="BO55" s="453"/>
      <c r="BP55" s="120"/>
      <c r="BQ55" s="453"/>
      <c r="BR55" s="120"/>
      <c r="BS55" s="431"/>
      <c r="BT55" s="458" t="s">
        <v>222</v>
      </c>
      <c r="BU55" s="453"/>
      <c r="BV55" s="120"/>
      <c r="BW55" s="453"/>
      <c r="BX55" s="120"/>
      <c r="BY55" s="443"/>
    </row>
    <row r="56" spans="1:77" ht="13" x14ac:dyDescent="0.25">
      <c r="A56" s="61"/>
      <c r="B56" s="60"/>
      <c r="C56" s="60"/>
      <c r="D56" s="60"/>
      <c r="E56" s="62"/>
      <c r="F56" s="62"/>
      <c r="G56" s="62"/>
      <c r="H56" s="62"/>
      <c r="I56" s="94"/>
      <c r="J56" s="93"/>
      <c r="K56" s="93"/>
      <c r="L56" s="93"/>
      <c r="M56" s="93"/>
      <c r="N56" s="93"/>
      <c r="O56" s="234" t="str">
        <f t="shared" si="5"/>
        <v xml:space="preserve"> </v>
      </c>
      <c r="P56" s="60"/>
      <c r="Q56" s="60"/>
      <c r="R56" s="60"/>
      <c r="S56" s="61"/>
      <c r="T56" s="60"/>
      <c r="U56" s="60"/>
      <c r="V56" s="60"/>
      <c r="W56" s="60"/>
      <c r="X56" s="60"/>
      <c r="Y56" s="60"/>
      <c r="Z56" s="60"/>
      <c r="AA56" s="60"/>
      <c r="AB56" s="60"/>
      <c r="AC56" s="8"/>
      <c r="AD56" s="170" t="s">
        <v>224</v>
      </c>
      <c r="AE56" s="171"/>
      <c r="AF56" s="172"/>
      <c r="AG56" s="171"/>
      <c r="AH56" s="172"/>
      <c r="AL56" s="8"/>
      <c r="AM56" s="363"/>
      <c r="AN56" s="808"/>
      <c r="AO56" s="313" t="s">
        <v>473</v>
      </c>
      <c r="AP56" s="296"/>
      <c r="AQ56" s="297"/>
      <c r="AR56" s="296"/>
      <c r="AS56" s="297"/>
      <c r="AT56" s="317" t="s">
        <v>1</v>
      </c>
      <c r="AU56" s="318" t="s">
        <v>1</v>
      </c>
      <c r="BF56" s="8"/>
      <c r="BG56" s="432"/>
      <c r="BH56" s="457" t="s">
        <v>227</v>
      </c>
      <c r="BI56" s="452"/>
      <c r="BJ56" s="121"/>
      <c r="BK56" s="452"/>
      <c r="BL56" s="121"/>
      <c r="BM56" s="431"/>
      <c r="BN56" s="448" t="s">
        <v>224</v>
      </c>
      <c r="BO56" s="452"/>
      <c r="BP56" s="121"/>
      <c r="BQ56" s="452"/>
      <c r="BR56" s="121"/>
      <c r="BS56" s="431"/>
      <c r="BT56" s="457" t="s">
        <v>224</v>
      </c>
      <c r="BU56" s="452"/>
      <c r="BV56" s="121"/>
      <c r="BW56" s="452"/>
      <c r="BX56" s="121"/>
      <c r="BY56" s="443"/>
    </row>
    <row r="57" spans="1:77" ht="13.5" thickBot="1" x14ac:dyDescent="0.3">
      <c r="A57" s="61"/>
      <c r="B57" s="60"/>
      <c r="C57" s="60"/>
      <c r="D57" s="60"/>
      <c r="E57" s="62"/>
      <c r="F57" s="62"/>
      <c r="G57" s="62"/>
      <c r="H57" s="62"/>
      <c r="I57" s="94"/>
      <c r="J57" s="94"/>
      <c r="K57" s="94"/>
      <c r="L57" s="94"/>
      <c r="M57" s="94"/>
      <c r="N57" s="94"/>
      <c r="O57" s="235" t="str">
        <f t="shared" si="5"/>
        <v xml:space="preserve"> </v>
      </c>
      <c r="P57" s="60"/>
      <c r="Q57" s="60"/>
      <c r="R57" s="60"/>
      <c r="S57" s="61"/>
      <c r="T57" s="60"/>
      <c r="U57" s="60"/>
      <c r="V57" s="60"/>
      <c r="W57" s="60"/>
      <c r="X57" s="60"/>
      <c r="Y57" s="60"/>
      <c r="Z57" s="60"/>
      <c r="AA57" s="60"/>
      <c r="AB57" s="60"/>
      <c r="AC57" s="8"/>
      <c r="AD57" s="361" t="s">
        <v>232</v>
      </c>
      <c r="AE57" s="175"/>
      <c r="AF57" s="176"/>
      <c r="AG57" s="175"/>
      <c r="AH57" s="176"/>
      <c r="AL57" s="8"/>
      <c r="AM57" s="363"/>
      <c r="AN57" s="808"/>
      <c r="AO57" s="293" t="s">
        <v>475</v>
      </c>
      <c r="AP57" s="299"/>
      <c r="AQ57" s="300"/>
      <c r="AR57" s="299"/>
      <c r="AS57" s="300"/>
      <c r="AT57" s="316" t="s">
        <v>1</v>
      </c>
      <c r="AU57" s="172" t="s">
        <v>1</v>
      </c>
      <c r="BF57" s="8"/>
      <c r="BG57" s="432"/>
      <c r="BH57" s="458" t="s">
        <v>229</v>
      </c>
      <c r="BI57" s="453"/>
      <c r="BJ57" s="120"/>
      <c r="BK57" s="453"/>
      <c r="BL57" s="120"/>
      <c r="BM57" s="431"/>
      <c r="BN57" s="646" t="s">
        <v>227</v>
      </c>
      <c r="BO57" s="453"/>
      <c r="BP57" s="120"/>
      <c r="BQ57" s="453"/>
      <c r="BR57" s="120"/>
      <c r="BS57" s="431"/>
      <c r="BT57" s="458" t="s">
        <v>227</v>
      </c>
      <c r="BU57" s="453"/>
      <c r="BV57" s="120"/>
      <c r="BW57" s="453"/>
      <c r="BX57" s="120"/>
      <c r="BY57" s="443"/>
    </row>
    <row r="58" spans="1:77" ht="14" thickTop="1" thickBot="1" x14ac:dyDescent="0.3">
      <c r="A58" s="61"/>
      <c r="B58" s="60"/>
      <c r="C58" s="60"/>
      <c r="D58" s="60"/>
      <c r="E58" s="62"/>
      <c r="F58" s="62"/>
      <c r="G58" s="62"/>
      <c r="H58" s="62"/>
      <c r="I58" s="94"/>
      <c r="J58" s="93"/>
      <c r="K58" s="93"/>
      <c r="L58" s="93"/>
      <c r="M58" s="93"/>
      <c r="N58" s="93"/>
      <c r="O58" s="234" t="str">
        <f t="shared" si="5"/>
        <v xml:space="preserve"> </v>
      </c>
      <c r="P58" s="60"/>
      <c r="Q58" s="60"/>
      <c r="R58" s="60"/>
      <c r="S58" s="61"/>
      <c r="T58" s="60"/>
      <c r="U58" s="60"/>
      <c r="V58" s="60"/>
      <c r="W58" s="60"/>
      <c r="X58" s="60"/>
      <c r="Y58" s="60"/>
      <c r="Z58" s="60"/>
      <c r="AA58" s="60"/>
      <c r="AB58" s="60"/>
      <c r="AC58" s="8"/>
      <c r="AD58" s="178" t="s">
        <v>181</v>
      </c>
      <c r="AE58" s="189">
        <f>SUM(AE52:AE57)</f>
        <v>0</v>
      </c>
      <c r="AF58" s="180">
        <f>SUM(AF52:AF57)</f>
        <v>0</v>
      </c>
      <c r="AG58" s="359">
        <f>SUM(AG52:AG57)</f>
        <v>0</v>
      </c>
      <c r="AH58" s="360">
        <f>SUM(AH52:AH57)</f>
        <v>0</v>
      </c>
      <c r="AL58" s="8"/>
      <c r="AM58" s="363"/>
      <c r="AN58" s="808"/>
      <c r="AO58" s="313" t="s">
        <v>476</v>
      </c>
      <c r="AP58" s="296"/>
      <c r="AQ58" s="297"/>
      <c r="AR58" s="296"/>
      <c r="AS58" s="297"/>
      <c r="AT58" s="317" t="s">
        <v>1</v>
      </c>
      <c r="AU58" s="318" t="s">
        <v>1</v>
      </c>
      <c r="BF58" s="8"/>
      <c r="BG58" s="432"/>
      <c r="BH58" s="457" t="s">
        <v>232</v>
      </c>
      <c r="BI58" s="452"/>
      <c r="BJ58" s="121"/>
      <c r="BK58" s="452"/>
      <c r="BL58" s="121"/>
      <c r="BM58" s="431"/>
      <c r="BN58" s="448" t="s">
        <v>229</v>
      </c>
      <c r="BO58" s="452"/>
      <c r="BP58" s="121"/>
      <c r="BQ58" s="452"/>
      <c r="BR58" s="121"/>
      <c r="BS58" s="431"/>
      <c r="BT58" s="457" t="s">
        <v>229</v>
      </c>
      <c r="BU58" s="452"/>
      <c r="BV58" s="121"/>
      <c r="BW58" s="452"/>
      <c r="BX58" s="121"/>
      <c r="BY58" s="443"/>
    </row>
    <row r="59" spans="1:77" ht="13.5" thickBot="1" x14ac:dyDescent="0.3">
      <c r="A59" s="61"/>
      <c r="B59" s="60"/>
      <c r="C59" s="60"/>
      <c r="D59" s="60"/>
      <c r="E59" s="62"/>
      <c r="F59" s="62"/>
      <c r="G59" s="62"/>
      <c r="H59" s="62"/>
      <c r="I59" s="94"/>
      <c r="J59" s="94"/>
      <c r="K59" s="94"/>
      <c r="L59" s="94"/>
      <c r="M59" s="94"/>
      <c r="N59" s="94"/>
      <c r="O59" s="235" t="str">
        <f t="shared" si="5"/>
        <v xml:space="preserve"> </v>
      </c>
      <c r="P59" s="60"/>
      <c r="Q59" s="60"/>
      <c r="R59" s="60"/>
      <c r="S59" s="61"/>
      <c r="T59" s="60"/>
      <c r="U59" s="60"/>
      <c r="V59" s="60"/>
      <c r="W59" s="60"/>
      <c r="X59" s="60"/>
      <c r="Y59" s="60"/>
      <c r="Z59" s="60"/>
      <c r="AA59" s="60"/>
      <c r="AB59" s="60"/>
      <c r="AC59" s="8"/>
      <c r="AL59" s="8"/>
      <c r="AM59" s="363"/>
      <c r="AN59" s="808"/>
      <c r="AO59" s="293" t="s">
        <v>477</v>
      </c>
      <c r="AP59" s="299"/>
      <c r="AQ59" s="300"/>
      <c r="AR59" s="299"/>
      <c r="AS59" s="300"/>
      <c r="AT59" s="316" t="s">
        <v>1</v>
      </c>
      <c r="AU59" s="172" t="s">
        <v>1</v>
      </c>
      <c r="BF59" s="8"/>
      <c r="BG59" s="432"/>
      <c r="BH59" s="458" t="s">
        <v>44</v>
      </c>
      <c r="BI59" s="453"/>
      <c r="BJ59" s="120"/>
      <c r="BK59" s="453"/>
      <c r="BL59" s="120"/>
      <c r="BM59" s="431"/>
      <c r="BN59" s="646" t="s">
        <v>44</v>
      </c>
      <c r="BO59" s="453"/>
      <c r="BP59" s="120"/>
      <c r="BQ59" s="453"/>
      <c r="BR59" s="120"/>
      <c r="BS59" s="431"/>
      <c r="BT59" s="458" t="s">
        <v>232</v>
      </c>
      <c r="BU59" s="453"/>
      <c r="BV59" s="120"/>
      <c r="BW59" s="453"/>
      <c r="BX59" s="120"/>
      <c r="BY59" s="443"/>
    </row>
    <row r="60" spans="1:77" ht="15.5" x14ac:dyDescent="0.25">
      <c r="A60" s="61"/>
      <c r="B60" s="60"/>
      <c r="C60" s="60"/>
      <c r="D60" s="60"/>
      <c r="E60" s="62"/>
      <c r="F60" s="62"/>
      <c r="G60" s="62"/>
      <c r="H60" s="62"/>
      <c r="I60" s="94"/>
      <c r="J60" s="93"/>
      <c r="K60" s="93"/>
      <c r="L60" s="93"/>
      <c r="M60" s="93"/>
      <c r="N60" s="93"/>
      <c r="O60" s="234" t="str">
        <f t="shared" si="5"/>
        <v xml:space="preserve"> </v>
      </c>
      <c r="P60" s="60"/>
      <c r="Q60" s="60"/>
      <c r="R60" s="60"/>
      <c r="S60" s="61"/>
      <c r="T60" s="60"/>
      <c r="U60" s="60"/>
      <c r="V60" s="60"/>
      <c r="W60" s="60"/>
      <c r="X60" s="60"/>
      <c r="Y60" s="60"/>
      <c r="Z60" s="60"/>
      <c r="AA60" s="60"/>
      <c r="AB60" s="60"/>
      <c r="AC60" s="8"/>
      <c r="AD60" s="698" t="s">
        <v>148</v>
      </c>
      <c r="AE60" s="699"/>
      <c r="AF60" s="699"/>
      <c r="AG60" s="699"/>
      <c r="AH60" s="700"/>
      <c r="AL60" s="8"/>
      <c r="AM60" s="363"/>
      <c r="AN60" s="804"/>
      <c r="AO60" s="805"/>
      <c r="AP60" s="805"/>
      <c r="AQ60" s="805"/>
      <c r="AR60" s="805"/>
      <c r="AS60" s="805"/>
      <c r="AT60" s="805"/>
      <c r="AU60" s="806"/>
      <c r="BF60" s="8"/>
      <c r="BG60" s="432"/>
      <c r="BH60" s="457" t="s">
        <v>236</v>
      </c>
      <c r="BI60" s="452"/>
      <c r="BJ60" s="121"/>
      <c r="BK60" s="452"/>
      <c r="BL60" s="121"/>
      <c r="BM60" s="431"/>
      <c r="BN60" s="448" t="s">
        <v>236</v>
      </c>
      <c r="BO60" s="452"/>
      <c r="BP60" s="121"/>
      <c r="BQ60" s="452"/>
      <c r="BR60" s="121"/>
      <c r="BS60" s="431"/>
      <c r="BT60" s="457" t="s">
        <v>44</v>
      </c>
      <c r="BU60" s="452"/>
      <c r="BV60" s="121"/>
      <c r="BW60" s="452"/>
      <c r="BX60" s="121"/>
      <c r="BY60" s="443"/>
    </row>
    <row r="61" spans="1:77" ht="15.5" x14ac:dyDescent="0.25">
      <c r="A61" s="61"/>
      <c r="B61" s="60"/>
      <c r="C61" s="60"/>
      <c r="D61" s="60"/>
      <c r="E61" s="62"/>
      <c r="F61" s="62"/>
      <c r="G61" s="62"/>
      <c r="H61" s="62"/>
      <c r="I61" s="94"/>
      <c r="J61" s="94"/>
      <c r="K61" s="94"/>
      <c r="L61" s="94"/>
      <c r="M61" s="94"/>
      <c r="N61" s="94"/>
      <c r="O61" s="235" t="str">
        <f t="shared" si="5"/>
        <v xml:space="preserve"> </v>
      </c>
      <c r="P61" s="60"/>
      <c r="Q61" s="60"/>
      <c r="R61" s="60"/>
      <c r="S61" s="61"/>
      <c r="T61" s="60"/>
      <c r="U61" s="60"/>
      <c r="V61" s="60"/>
      <c r="W61" s="60"/>
      <c r="X61" s="60"/>
      <c r="Y61" s="60"/>
      <c r="Z61" s="60"/>
      <c r="AA61" s="60"/>
      <c r="AB61" s="60"/>
      <c r="AC61" s="8"/>
      <c r="AD61" s="798" t="s">
        <v>204</v>
      </c>
      <c r="AE61" s="799"/>
      <c r="AF61" s="799"/>
      <c r="AG61" s="799"/>
      <c r="AH61" s="800"/>
      <c r="AL61" s="8"/>
      <c r="AM61" s="363"/>
      <c r="AN61" s="808" t="s">
        <v>465</v>
      </c>
      <c r="AO61" s="319" t="s">
        <v>472</v>
      </c>
      <c r="AP61" s="296">
        <f>AI$62</f>
        <v>0</v>
      </c>
      <c r="AQ61" s="297">
        <f>AJ$62</f>
        <v>0</v>
      </c>
      <c r="AR61" s="296">
        <f>AK$62</f>
        <v>0</v>
      </c>
      <c r="AS61" s="297">
        <f>AL$62</f>
        <v>0</v>
      </c>
      <c r="AT61" s="298" t="s">
        <v>1</v>
      </c>
      <c r="AU61" s="120" t="s">
        <v>1</v>
      </c>
      <c r="BF61" s="8"/>
      <c r="BG61" s="432"/>
      <c r="BH61" s="458" t="s">
        <v>163</v>
      </c>
      <c r="BI61" s="453"/>
      <c r="BJ61" s="120"/>
      <c r="BK61" s="453"/>
      <c r="BL61" s="120"/>
      <c r="BM61" s="431"/>
      <c r="BN61" s="646" t="s">
        <v>163</v>
      </c>
      <c r="BO61" s="453"/>
      <c r="BP61" s="120"/>
      <c r="BQ61" s="453"/>
      <c r="BR61" s="120"/>
      <c r="BS61" s="431"/>
      <c r="BT61" s="458" t="s">
        <v>236</v>
      </c>
      <c r="BU61" s="453"/>
      <c r="BV61" s="120"/>
      <c r="BW61" s="453"/>
      <c r="BX61" s="120"/>
      <c r="BY61" s="443"/>
    </row>
    <row r="62" spans="1:77" ht="16" thickBot="1" x14ac:dyDescent="0.3">
      <c r="A62" s="61"/>
      <c r="B62" s="60"/>
      <c r="C62" s="60"/>
      <c r="D62" s="60"/>
      <c r="E62" s="62"/>
      <c r="F62" s="62"/>
      <c r="G62" s="62"/>
      <c r="H62" s="62"/>
      <c r="I62" s="94"/>
      <c r="J62" s="93"/>
      <c r="K62" s="93"/>
      <c r="L62" s="93"/>
      <c r="M62" s="93"/>
      <c r="N62" s="93"/>
      <c r="O62" s="234" t="str">
        <f t="shared" si="5"/>
        <v xml:space="preserve"> </v>
      </c>
      <c r="P62" s="60"/>
      <c r="Q62" s="60"/>
      <c r="R62" s="60"/>
      <c r="S62" s="61"/>
      <c r="T62" s="60"/>
      <c r="U62" s="60"/>
      <c r="V62" s="60"/>
      <c r="W62" s="60"/>
      <c r="X62" s="60"/>
      <c r="Y62" s="60"/>
      <c r="Z62" s="60"/>
      <c r="AA62" s="60"/>
      <c r="AB62" s="60"/>
      <c r="AC62" s="8"/>
      <c r="AD62" s="765" t="s">
        <v>224</v>
      </c>
      <c r="AE62" s="766"/>
      <c r="AF62" s="766"/>
      <c r="AG62" s="766"/>
      <c r="AH62" s="767"/>
      <c r="AL62" s="8"/>
      <c r="AM62" s="363"/>
      <c r="AN62" s="808"/>
      <c r="AO62" s="293" t="s">
        <v>466</v>
      </c>
      <c r="AP62" s="299"/>
      <c r="AQ62" s="300"/>
      <c r="AR62" s="299"/>
      <c r="AS62" s="300"/>
      <c r="AT62" s="316" t="s">
        <v>1</v>
      </c>
      <c r="AU62" s="172" t="s">
        <v>1</v>
      </c>
      <c r="BF62" s="8"/>
      <c r="BG62" s="432"/>
      <c r="BH62" s="457" t="s">
        <v>52</v>
      </c>
      <c r="BI62" s="452"/>
      <c r="BJ62" s="121"/>
      <c r="BK62" s="452"/>
      <c r="BL62" s="121"/>
      <c r="BM62" s="431"/>
      <c r="BN62" s="448" t="s">
        <v>52</v>
      </c>
      <c r="BO62" s="452"/>
      <c r="BP62" s="121"/>
      <c r="BQ62" s="452"/>
      <c r="BR62" s="121"/>
      <c r="BS62" s="431"/>
      <c r="BT62" s="457" t="s">
        <v>52</v>
      </c>
      <c r="BU62" s="452"/>
      <c r="BV62" s="121"/>
      <c r="BW62" s="452"/>
      <c r="BX62" s="121"/>
      <c r="BY62" s="443"/>
    </row>
    <row r="63" spans="1:77" ht="13" x14ac:dyDescent="0.25">
      <c r="A63" s="61"/>
      <c r="B63" s="60"/>
      <c r="C63" s="60"/>
      <c r="D63" s="60"/>
      <c r="E63" s="62"/>
      <c r="F63" s="62"/>
      <c r="G63" s="62"/>
      <c r="H63" s="62"/>
      <c r="I63" s="94"/>
      <c r="J63" s="94"/>
      <c r="K63" s="94"/>
      <c r="L63" s="94"/>
      <c r="M63" s="94"/>
      <c r="N63" s="94"/>
      <c r="O63" s="235" t="str">
        <f t="shared" si="5"/>
        <v xml:space="preserve"> </v>
      </c>
      <c r="P63" s="60"/>
      <c r="Q63" s="60"/>
      <c r="R63" s="60"/>
      <c r="S63" s="61"/>
      <c r="T63" s="60"/>
      <c r="U63" s="60"/>
      <c r="V63" s="60"/>
      <c r="W63" s="60"/>
      <c r="X63" s="60"/>
      <c r="Y63" s="60"/>
      <c r="Z63" s="60"/>
      <c r="AA63" s="60"/>
      <c r="AB63" s="60"/>
      <c r="AC63" s="8"/>
      <c r="AD63" s="706" t="s">
        <v>166</v>
      </c>
      <c r="AE63" s="704" t="s">
        <v>167</v>
      </c>
      <c r="AF63" s="705"/>
      <c r="AG63" s="704" t="s">
        <v>168</v>
      </c>
      <c r="AH63" s="705"/>
      <c r="AL63" s="8"/>
      <c r="AM63" s="363"/>
      <c r="AN63" s="808"/>
      <c r="AO63" s="313" t="s">
        <v>467</v>
      </c>
      <c r="AP63" s="296"/>
      <c r="AQ63" s="297"/>
      <c r="AR63" s="296"/>
      <c r="AS63" s="297"/>
      <c r="AT63" s="317" t="s">
        <v>1</v>
      </c>
      <c r="AU63" s="318" t="s">
        <v>1</v>
      </c>
      <c r="BF63" s="8"/>
      <c r="BG63" s="432"/>
      <c r="BH63" s="458" t="s">
        <v>151</v>
      </c>
      <c r="BI63" s="453"/>
      <c r="BJ63" s="120"/>
      <c r="BK63" s="453"/>
      <c r="BL63" s="120"/>
      <c r="BM63" s="431"/>
      <c r="BN63" s="646" t="s">
        <v>151</v>
      </c>
      <c r="BO63" s="453"/>
      <c r="BP63" s="120"/>
      <c r="BQ63" s="453"/>
      <c r="BR63" s="120"/>
      <c r="BS63" s="431"/>
      <c r="BT63" s="458" t="s">
        <v>151</v>
      </c>
      <c r="BU63" s="453"/>
      <c r="BV63" s="120"/>
      <c r="BW63" s="453"/>
      <c r="BX63" s="120"/>
      <c r="BY63" s="443"/>
    </row>
    <row r="64" spans="1:77" ht="13.5" thickBot="1" x14ac:dyDescent="0.3">
      <c r="A64" s="61"/>
      <c r="B64" s="60"/>
      <c r="C64" s="60"/>
      <c r="D64" s="60"/>
      <c r="E64" s="62"/>
      <c r="F64" s="62"/>
      <c r="G64" s="62"/>
      <c r="H64" s="62"/>
      <c r="I64" s="94"/>
      <c r="J64" s="93"/>
      <c r="K64" s="93"/>
      <c r="L64" s="93"/>
      <c r="M64" s="93"/>
      <c r="N64" s="93"/>
      <c r="O64" s="234" t="str">
        <f t="shared" si="5"/>
        <v xml:space="preserve"> </v>
      </c>
      <c r="P64" s="60"/>
      <c r="Q64" s="60"/>
      <c r="R64" s="60"/>
      <c r="S64" s="61"/>
      <c r="T64" s="60"/>
      <c r="U64" s="60"/>
      <c r="V64" s="60"/>
      <c r="W64" s="60"/>
      <c r="X64" s="60"/>
      <c r="Y64" s="60"/>
      <c r="Z64" s="60"/>
      <c r="AA64" s="60"/>
      <c r="AB64" s="60"/>
      <c r="AC64" s="8"/>
      <c r="AD64" s="707"/>
      <c r="AE64" s="168" t="s">
        <v>172</v>
      </c>
      <c r="AF64" s="169" t="s">
        <v>173</v>
      </c>
      <c r="AG64" s="182" t="s">
        <v>172</v>
      </c>
      <c r="AH64" s="169" t="s">
        <v>173</v>
      </c>
      <c r="AL64" s="8"/>
      <c r="AM64" s="363"/>
      <c r="AN64" s="808"/>
      <c r="AO64" s="293" t="s">
        <v>469</v>
      </c>
      <c r="AP64" s="299"/>
      <c r="AQ64" s="300"/>
      <c r="AR64" s="299"/>
      <c r="AS64" s="300"/>
      <c r="AT64" s="316" t="s">
        <v>1</v>
      </c>
      <c r="AU64" s="172" t="s">
        <v>1</v>
      </c>
      <c r="BF64" s="8"/>
      <c r="BG64" s="432"/>
      <c r="BH64" s="457" t="s">
        <v>217</v>
      </c>
      <c r="BI64" s="452"/>
      <c r="BJ64" s="121"/>
      <c r="BK64" s="452"/>
      <c r="BL64" s="121"/>
      <c r="BM64" s="431"/>
      <c r="BN64" s="448" t="s">
        <v>217</v>
      </c>
      <c r="BO64" s="452"/>
      <c r="BP64" s="121"/>
      <c r="BQ64" s="452"/>
      <c r="BR64" s="121"/>
      <c r="BS64" s="431"/>
      <c r="BT64" s="457" t="s">
        <v>217</v>
      </c>
      <c r="BU64" s="452"/>
      <c r="BV64" s="121"/>
      <c r="BW64" s="452"/>
      <c r="BX64" s="121"/>
      <c r="BY64" s="443"/>
    </row>
    <row r="65" spans="1:77" ht="13" x14ac:dyDescent="0.25">
      <c r="A65" s="61"/>
      <c r="B65" s="60"/>
      <c r="C65" s="60"/>
      <c r="D65" s="60"/>
      <c r="E65" s="62"/>
      <c r="F65" s="62"/>
      <c r="G65" s="62"/>
      <c r="H65" s="62"/>
      <c r="I65" s="94"/>
      <c r="J65" s="94"/>
      <c r="K65" s="94"/>
      <c r="L65" s="94"/>
      <c r="M65" s="94"/>
      <c r="N65" s="94"/>
      <c r="O65" s="235" t="str">
        <f t="shared" si="5"/>
        <v xml:space="preserve"> </v>
      </c>
      <c r="P65" s="60"/>
      <c r="Q65" s="60"/>
      <c r="R65" s="60"/>
      <c r="S65" s="61"/>
      <c r="T65" s="60"/>
      <c r="U65" s="60"/>
      <c r="V65" s="60"/>
      <c r="W65" s="60"/>
      <c r="X65" s="60"/>
      <c r="Y65" s="60"/>
      <c r="Z65" s="60"/>
      <c r="AA65" s="60"/>
      <c r="AB65" s="60"/>
      <c r="AC65" s="8"/>
      <c r="AD65" s="164" t="s">
        <v>41</v>
      </c>
      <c r="AE65" s="165"/>
      <c r="AF65" s="166"/>
      <c r="AG65" s="165"/>
      <c r="AH65" s="166"/>
      <c r="AL65" s="8"/>
      <c r="AM65" s="363"/>
      <c r="AN65" s="808"/>
      <c r="AO65" s="313" t="s">
        <v>474</v>
      </c>
      <c r="AP65" s="296"/>
      <c r="AQ65" s="297"/>
      <c r="AR65" s="296"/>
      <c r="AS65" s="297"/>
      <c r="AT65" s="317" t="s">
        <v>1</v>
      </c>
      <c r="AU65" s="318" t="s">
        <v>1</v>
      </c>
      <c r="BF65" s="8"/>
      <c r="BG65" s="432"/>
      <c r="BH65" s="458" t="s">
        <v>242</v>
      </c>
      <c r="BI65" s="453"/>
      <c r="BJ65" s="120"/>
      <c r="BK65" s="453"/>
      <c r="BL65" s="120"/>
      <c r="BM65" s="431"/>
      <c r="BN65" s="646" t="s">
        <v>242</v>
      </c>
      <c r="BO65" s="453"/>
      <c r="BP65" s="120"/>
      <c r="BQ65" s="453"/>
      <c r="BR65" s="120"/>
      <c r="BS65" s="431"/>
      <c r="BT65" s="458" t="s">
        <v>242</v>
      </c>
      <c r="BU65" s="453"/>
      <c r="BV65" s="120"/>
      <c r="BW65" s="453"/>
      <c r="BX65" s="120"/>
      <c r="BY65" s="443"/>
    </row>
    <row r="66" spans="1:77" ht="13" x14ac:dyDescent="0.25">
      <c r="A66" s="61"/>
      <c r="B66" s="60"/>
      <c r="C66" s="60"/>
      <c r="D66" s="60"/>
      <c r="E66" s="62"/>
      <c r="F66" s="62"/>
      <c r="G66" s="62"/>
      <c r="H66" s="62"/>
      <c r="I66" s="94"/>
      <c r="J66" s="93"/>
      <c r="K66" s="93"/>
      <c r="L66" s="93"/>
      <c r="M66" s="93"/>
      <c r="N66" s="93"/>
      <c r="O66" s="234" t="str">
        <f t="shared" si="5"/>
        <v xml:space="preserve"> </v>
      </c>
      <c r="P66" s="60"/>
      <c r="Q66" s="60"/>
      <c r="R66" s="60"/>
      <c r="S66" s="61"/>
      <c r="T66" s="60"/>
      <c r="U66" s="60"/>
      <c r="V66" s="60"/>
      <c r="W66" s="60"/>
      <c r="X66" s="60"/>
      <c r="Y66" s="60"/>
      <c r="Z66" s="60"/>
      <c r="AA66" s="60"/>
      <c r="AB66" s="60"/>
      <c r="AC66" s="8"/>
      <c r="AD66" s="362" t="s">
        <v>217</v>
      </c>
      <c r="AE66" s="185"/>
      <c r="AF66" s="184"/>
      <c r="AG66" s="185"/>
      <c r="AH66" s="184"/>
      <c r="AL66" s="8"/>
      <c r="AM66" s="363"/>
      <c r="AN66" s="808"/>
      <c r="AO66" s="293" t="s">
        <v>475</v>
      </c>
      <c r="AP66" s="299"/>
      <c r="AQ66" s="300"/>
      <c r="AR66" s="299"/>
      <c r="AS66" s="300"/>
      <c r="AT66" s="316" t="s">
        <v>1</v>
      </c>
      <c r="AU66" s="172" t="s">
        <v>1</v>
      </c>
      <c r="BF66" s="8"/>
      <c r="BG66" s="432"/>
      <c r="BH66" s="457" t="s">
        <v>245</v>
      </c>
      <c r="BI66" s="452"/>
      <c r="BJ66" s="121"/>
      <c r="BK66" s="452"/>
      <c r="BL66" s="121"/>
      <c r="BM66" s="431"/>
      <c r="BN66" s="448" t="s">
        <v>245</v>
      </c>
      <c r="BO66" s="452"/>
      <c r="BP66" s="121"/>
      <c r="BQ66" s="452"/>
      <c r="BR66" s="121"/>
      <c r="BS66" s="431"/>
      <c r="BT66" s="457" t="s">
        <v>245</v>
      </c>
      <c r="BU66" s="452"/>
      <c r="BV66" s="121"/>
      <c r="BW66" s="452"/>
      <c r="BX66" s="121"/>
      <c r="BY66" s="443"/>
    </row>
    <row r="67" spans="1:77" ht="13" x14ac:dyDescent="0.25">
      <c r="A67" s="61"/>
      <c r="B67" s="60"/>
      <c r="C67" s="60"/>
      <c r="D67" s="60"/>
      <c r="E67" s="62"/>
      <c r="F67" s="62"/>
      <c r="G67" s="62"/>
      <c r="H67" s="62"/>
      <c r="I67" s="94"/>
      <c r="J67" s="94"/>
      <c r="K67" s="94"/>
      <c r="L67" s="94"/>
      <c r="M67" s="94"/>
      <c r="N67" s="94"/>
      <c r="O67" s="235" t="str">
        <f t="shared" si="5"/>
        <v xml:space="preserve"> </v>
      </c>
      <c r="P67" s="60"/>
      <c r="Q67" s="60"/>
      <c r="R67" s="60"/>
      <c r="S67" s="61"/>
      <c r="T67" s="60"/>
      <c r="U67" s="60"/>
      <c r="V67" s="60"/>
      <c r="W67" s="60"/>
      <c r="X67" s="60"/>
      <c r="Y67" s="60"/>
      <c r="Z67" s="60"/>
      <c r="AA67" s="60"/>
      <c r="AB67" s="60"/>
      <c r="AC67" s="8"/>
      <c r="AD67" s="170" t="s">
        <v>220</v>
      </c>
      <c r="AE67" s="171"/>
      <c r="AF67" s="172"/>
      <c r="AG67" s="171"/>
      <c r="AH67" s="172"/>
      <c r="AL67" s="8"/>
      <c r="AM67" s="363"/>
      <c r="AN67" s="808"/>
      <c r="AO67" s="313" t="s">
        <v>476</v>
      </c>
      <c r="AP67" s="296"/>
      <c r="AQ67" s="297"/>
      <c r="AR67" s="296"/>
      <c r="AS67" s="297"/>
      <c r="AT67" s="317" t="s">
        <v>1</v>
      </c>
      <c r="AU67" s="318" t="s">
        <v>1</v>
      </c>
      <c r="BF67" s="8"/>
      <c r="BG67" s="432"/>
      <c r="BH67" s="458" t="s">
        <v>249</v>
      </c>
      <c r="BI67" s="453"/>
      <c r="BJ67" s="120"/>
      <c r="BK67" s="453"/>
      <c r="BL67" s="120"/>
      <c r="BM67" s="431"/>
      <c r="BN67" s="646" t="s">
        <v>249</v>
      </c>
      <c r="BO67" s="453"/>
      <c r="BP67" s="120"/>
      <c r="BQ67" s="453"/>
      <c r="BR67" s="120"/>
      <c r="BS67" s="431"/>
      <c r="BT67" s="458" t="s">
        <v>249</v>
      </c>
      <c r="BU67" s="453"/>
      <c r="BV67" s="120"/>
      <c r="BW67" s="453"/>
      <c r="BX67" s="120"/>
      <c r="BY67" s="443"/>
    </row>
    <row r="68" spans="1:77" ht="13" x14ac:dyDescent="0.25">
      <c r="A68" s="61"/>
      <c r="B68" s="60"/>
      <c r="C68" s="60"/>
      <c r="D68" s="60"/>
      <c r="E68" s="62"/>
      <c r="F68" s="62"/>
      <c r="G68" s="62"/>
      <c r="H68" s="62"/>
      <c r="I68" s="94"/>
      <c r="J68" s="93"/>
      <c r="K68" s="93"/>
      <c r="L68" s="93"/>
      <c r="M68" s="93"/>
      <c r="N68" s="93"/>
      <c r="O68" s="234" t="str">
        <f t="shared" ref="O68:O131" si="6">IF($E68&lt;=0, " ",IF($E68&lt;=0.25, "A",IF($E68&lt;10, "B",IF($E68&lt;100, "C", IF($E68&lt;300, "D",IF($E68&lt;1000, "E",IF($E68&lt;5000,"F",IF($E68&gt;=5000, "G"))))))))</f>
        <v xml:space="preserve"> </v>
      </c>
      <c r="P68" s="60"/>
      <c r="Q68" s="60"/>
      <c r="R68" s="60"/>
      <c r="S68" s="61"/>
      <c r="T68" s="60"/>
      <c r="U68" s="60"/>
      <c r="V68" s="60"/>
      <c r="W68" s="60"/>
      <c r="X68" s="60"/>
      <c r="Y68" s="60"/>
      <c r="Z68" s="60"/>
      <c r="AA68" s="60"/>
      <c r="AB68" s="60"/>
      <c r="AC68" s="8"/>
      <c r="AD68" s="170" t="s">
        <v>222</v>
      </c>
      <c r="AE68" s="171"/>
      <c r="AF68" s="172"/>
      <c r="AG68" s="171"/>
      <c r="AH68" s="172"/>
      <c r="AL68" s="8"/>
      <c r="AM68" s="363"/>
      <c r="AN68" s="808"/>
      <c r="AO68" s="293" t="s">
        <v>477</v>
      </c>
      <c r="AP68" s="299"/>
      <c r="AQ68" s="300"/>
      <c r="AR68" s="299"/>
      <c r="AS68" s="300"/>
      <c r="AT68" s="316" t="s">
        <v>1</v>
      </c>
      <c r="AU68" s="172" t="s">
        <v>1</v>
      </c>
      <c r="BF68" s="8"/>
      <c r="BG68" s="432"/>
      <c r="BH68" s="457" t="s">
        <v>77</v>
      </c>
      <c r="BI68" s="452"/>
      <c r="BJ68" s="121"/>
      <c r="BK68" s="452"/>
      <c r="BL68" s="121"/>
      <c r="BM68" s="431"/>
      <c r="BN68" s="448" t="s">
        <v>77</v>
      </c>
      <c r="BO68" s="452"/>
      <c r="BP68" s="121"/>
      <c r="BQ68" s="452"/>
      <c r="BR68" s="121"/>
      <c r="BS68" s="431"/>
      <c r="BT68" s="457" t="s">
        <v>77</v>
      </c>
      <c r="BU68" s="452"/>
      <c r="BV68" s="121"/>
      <c r="BW68" s="452"/>
      <c r="BX68" s="121"/>
      <c r="BY68" s="443"/>
    </row>
    <row r="69" spans="1:77" ht="13" x14ac:dyDescent="0.25">
      <c r="A69" s="61"/>
      <c r="B69" s="60"/>
      <c r="C69" s="60"/>
      <c r="D69" s="60"/>
      <c r="E69" s="62"/>
      <c r="F69" s="62"/>
      <c r="G69" s="62"/>
      <c r="H69" s="62"/>
      <c r="I69" s="94"/>
      <c r="J69" s="94"/>
      <c r="K69" s="94"/>
      <c r="L69" s="94"/>
      <c r="M69" s="94"/>
      <c r="N69" s="94"/>
      <c r="O69" s="235" t="str">
        <f t="shared" si="6"/>
        <v xml:space="preserve"> </v>
      </c>
      <c r="P69" s="60"/>
      <c r="Q69" s="60"/>
      <c r="R69" s="60"/>
      <c r="S69" s="61"/>
      <c r="T69" s="60"/>
      <c r="U69" s="60"/>
      <c r="V69" s="60"/>
      <c r="W69" s="60"/>
      <c r="X69" s="60"/>
      <c r="Y69" s="60"/>
      <c r="Z69" s="60"/>
      <c r="AA69" s="60"/>
      <c r="AB69" s="60"/>
      <c r="AC69" s="8"/>
      <c r="AD69" s="170" t="s">
        <v>229</v>
      </c>
      <c r="AE69" s="171"/>
      <c r="AF69" s="172"/>
      <c r="AG69" s="171"/>
      <c r="AH69" s="172"/>
      <c r="AL69" s="8"/>
      <c r="AM69" s="363"/>
      <c r="AN69" s="804"/>
      <c r="AO69" s="805"/>
      <c r="AP69" s="805"/>
      <c r="AQ69" s="805"/>
      <c r="AR69" s="805"/>
      <c r="AS69" s="805"/>
      <c r="AT69" s="805"/>
      <c r="AU69" s="806"/>
      <c r="BF69" s="8"/>
      <c r="BG69" s="432"/>
      <c r="BH69" s="458" t="s">
        <v>256</v>
      </c>
      <c r="BI69" s="453"/>
      <c r="BJ69" s="120"/>
      <c r="BK69" s="453"/>
      <c r="BL69" s="120"/>
      <c r="BM69" s="431"/>
      <c r="BN69" s="646" t="s">
        <v>256</v>
      </c>
      <c r="BO69" s="453"/>
      <c r="BP69" s="120"/>
      <c r="BQ69" s="453"/>
      <c r="BR69" s="120"/>
      <c r="BS69" s="431"/>
      <c r="BT69" s="458" t="s">
        <v>256</v>
      </c>
      <c r="BU69" s="453"/>
      <c r="BV69" s="120"/>
      <c r="BW69" s="453"/>
      <c r="BX69" s="120"/>
      <c r="BY69" s="443"/>
    </row>
    <row r="70" spans="1:77" ht="13" x14ac:dyDescent="0.25">
      <c r="A70" s="61"/>
      <c r="B70" s="60"/>
      <c r="C70" s="60"/>
      <c r="D70" s="60"/>
      <c r="E70" s="62"/>
      <c r="F70" s="62"/>
      <c r="G70" s="62"/>
      <c r="H70" s="62"/>
      <c r="I70" s="94"/>
      <c r="J70" s="93"/>
      <c r="K70" s="93"/>
      <c r="L70" s="93"/>
      <c r="M70" s="93"/>
      <c r="N70" s="93"/>
      <c r="O70" s="234" t="str">
        <f t="shared" si="6"/>
        <v xml:space="preserve"> </v>
      </c>
      <c r="P70" s="60"/>
      <c r="Q70" s="60"/>
      <c r="R70" s="60"/>
      <c r="S70" s="61"/>
      <c r="T70" s="60"/>
      <c r="U70" s="60"/>
      <c r="V70" s="60"/>
      <c r="W70" s="60"/>
      <c r="X70" s="60"/>
      <c r="Y70" s="60"/>
      <c r="Z70" s="60"/>
      <c r="AA70" s="60"/>
      <c r="AB70" s="60"/>
      <c r="AC70" s="8"/>
      <c r="AD70" s="170" t="s">
        <v>232</v>
      </c>
      <c r="AE70" s="171"/>
      <c r="AF70" s="172"/>
      <c r="AG70" s="171"/>
      <c r="AH70" s="172"/>
      <c r="AL70" s="8"/>
      <c r="AM70" s="363"/>
      <c r="AN70" s="808" t="s">
        <v>465</v>
      </c>
      <c r="AO70" s="319" t="s">
        <v>473</v>
      </c>
      <c r="AP70" s="296">
        <f>AI$65</f>
        <v>0</v>
      </c>
      <c r="AQ70" s="297">
        <f>AJ$65</f>
        <v>0</v>
      </c>
      <c r="AR70" s="296">
        <f>AK$65</f>
        <v>0</v>
      </c>
      <c r="AS70" s="297">
        <f>AL$65</f>
        <v>0</v>
      </c>
      <c r="AT70" s="298" t="s">
        <v>1</v>
      </c>
      <c r="AU70" s="120" t="s">
        <v>1</v>
      </c>
      <c r="BF70" s="8"/>
      <c r="BG70" s="432"/>
      <c r="BH70" s="457" t="s">
        <v>260</v>
      </c>
      <c r="BI70" s="452"/>
      <c r="BJ70" s="121"/>
      <c r="BK70" s="452"/>
      <c r="BL70" s="121"/>
      <c r="BM70" s="431"/>
      <c r="BN70" s="448" t="s">
        <v>260</v>
      </c>
      <c r="BO70" s="452"/>
      <c r="BP70" s="121"/>
      <c r="BQ70" s="452"/>
      <c r="BR70" s="121"/>
      <c r="BS70" s="431"/>
      <c r="BT70" s="457" t="s">
        <v>260</v>
      </c>
      <c r="BU70" s="452"/>
      <c r="BV70" s="121"/>
      <c r="BW70" s="452"/>
      <c r="BX70" s="121"/>
      <c r="BY70" s="443"/>
    </row>
    <row r="71" spans="1:77" ht="13.5" thickBot="1" x14ac:dyDescent="0.3">
      <c r="A71" s="61"/>
      <c r="B71" s="60"/>
      <c r="C71" s="60"/>
      <c r="D71" s="60"/>
      <c r="E71" s="62"/>
      <c r="F71" s="62"/>
      <c r="G71" s="62"/>
      <c r="H71" s="62"/>
      <c r="I71" s="94"/>
      <c r="J71" s="94"/>
      <c r="K71" s="94"/>
      <c r="L71" s="94"/>
      <c r="M71" s="94"/>
      <c r="N71" s="94"/>
      <c r="O71" s="235" t="str">
        <f t="shared" si="6"/>
        <v xml:space="preserve"> </v>
      </c>
      <c r="P71" s="60"/>
      <c r="Q71" s="60"/>
      <c r="R71" s="60"/>
      <c r="S71" s="61"/>
      <c r="T71" s="60"/>
      <c r="U71" s="60"/>
      <c r="V71" s="60"/>
      <c r="W71" s="60"/>
      <c r="X71" s="60"/>
      <c r="Y71" s="60"/>
      <c r="Z71" s="60"/>
      <c r="AA71" s="60"/>
      <c r="AB71" s="60"/>
      <c r="AC71" s="8"/>
      <c r="AD71" s="174" t="s">
        <v>44</v>
      </c>
      <c r="AE71" s="175"/>
      <c r="AF71" s="176"/>
      <c r="AG71" s="175"/>
      <c r="AH71" s="176"/>
      <c r="AL71" s="8"/>
      <c r="AM71" s="363"/>
      <c r="AN71" s="808"/>
      <c r="AO71" s="293" t="s">
        <v>466</v>
      </c>
      <c r="AP71" s="299"/>
      <c r="AQ71" s="300"/>
      <c r="AR71" s="299"/>
      <c r="AS71" s="300"/>
      <c r="AT71" s="316" t="s">
        <v>1</v>
      </c>
      <c r="AU71" s="172" t="s">
        <v>1</v>
      </c>
      <c r="BF71" s="8"/>
      <c r="BG71" s="432"/>
      <c r="BH71" s="458" t="s">
        <v>264</v>
      </c>
      <c r="BI71" s="453"/>
      <c r="BJ71" s="120"/>
      <c r="BK71" s="453"/>
      <c r="BL71" s="120"/>
      <c r="BM71" s="431"/>
      <c r="BN71" s="646" t="s">
        <v>264</v>
      </c>
      <c r="BO71" s="453"/>
      <c r="BP71" s="120"/>
      <c r="BQ71" s="453"/>
      <c r="BR71" s="120"/>
      <c r="BS71" s="431"/>
      <c r="BT71" s="458" t="s">
        <v>264</v>
      </c>
      <c r="BU71" s="453"/>
      <c r="BV71" s="120"/>
      <c r="BW71" s="453"/>
      <c r="BX71" s="120"/>
      <c r="BY71" s="443"/>
    </row>
    <row r="72" spans="1:77" ht="14" thickTop="1" thickBot="1" x14ac:dyDescent="0.3">
      <c r="A72" s="61"/>
      <c r="B72" s="60"/>
      <c r="C72" s="60"/>
      <c r="D72" s="60"/>
      <c r="E72" s="62"/>
      <c r="F72" s="62"/>
      <c r="G72" s="62"/>
      <c r="H72" s="62"/>
      <c r="I72" s="94"/>
      <c r="J72" s="93"/>
      <c r="K72" s="93"/>
      <c r="L72" s="93"/>
      <c r="M72" s="93"/>
      <c r="N72" s="93"/>
      <c r="O72" s="234" t="str">
        <f t="shared" si="6"/>
        <v xml:space="preserve"> </v>
      </c>
      <c r="P72" s="60"/>
      <c r="Q72" s="60"/>
      <c r="R72" s="60"/>
      <c r="S72" s="61"/>
      <c r="T72" s="60"/>
      <c r="U72" s="60"/>
      <c r="V72" s="60"/>
      <c r="W72" s="60"/>
      <c r="X72" s="60"/>
      <c r="Y72" s="60"/>
      <c r="Z72" s="60"/>
      <c r="AA72" s="60"/>
      <c r="AB72" s="60"/>
      <c r="AC72" s="8"/>
      <c r="AD72" s="178" t="s">
        <v>181</v>
      </c>
      <c r="AE72" s="189">
        <f>SUM(AE65:AE71)</f>
        <v>0</v>
      </c>
      <c r="AF72" s="180">
        <f>SUM(AF65:AF71)</f>
        <v>0</v>
      </c>
      <c r="AG72" s="359">
        <f>SUM(AG65:AG71)</f>
        <v>0</v>
      </c>
      <c r="AH72" s="360">
        <f>SUM(AH65:AH71)</f>
        <v>0</v>
      </c>
      <c r="AL72" s="8"/>
      <c r="AM72" s="363"/>
      <c r="AN72" s="808"/>
      <c r="AO72" s="313" t="s">
        <v>468</v>
      </c>
      <c r="AP72" s="296"/>
      <c r="AQ72" s="297"/>
      <c r="AR72" s="296"/>
      <c r="AS72" s="297"/>
      <c r="AT72" s="317" t="s">
        <v>1</v>
      </c>
      <c r="AU72" s="318" t="s">
        <v>1</v>
      </c>
      <c r="BF72" s="8"/>
      <c r="BG72" s="432"/>
      <c r="BH72" s="457" t="s">
        <v>269</v>
      </c>
      <c r="BI72" s="452"/>
      <c r="BJ72" s="121"/>
      <c r="BK72" s="452"/>
      <c r="BL72" s="121"/>
      <c r="BM72" s="431"/>
      <c r="BN72" s="448" t="s">
        <v>269</v>
      </c>
      <c r="BO72" s="452"/>
      <c r="BP72" s="121"/>
      <c r="BQ72" s="452"/>
      <c r="BR72" s="121"/>
      <c r="BS72" s="431"/>
      <c r="BT72" s="457" t="s">
        <v>269</v>
      </c>
      <c r="BU72" s="452"/>
      <c r="BV72" s="121"/>
      <c r="BW72" s="452"/>
      <c r="BX72" s="121"/>
      <c r="BY72" s="443"/>
    </row>
    <row r="73" spans="1:77" ht="13.5" thickBot="1" x14ac:dyDescent="0.3">
      <c r="A73" s="61"/>
      <c r="B73" s="60"/>
      <c r="C73" s="60"/>
      <c r="D73" s="60"/>
      <c r="E73" s="62"/>
      <c r="F73" s="62"/>
      <c r="G73" s="62"/>
      <c r="H73" s="62"/>
      <c r="I73" s="94"/>
      <c r="J73" s="94"/>
      <c r="K73" s="94"/>
      <c r="L73" s="94"/>
      <c r="M73" s="94"/>
      <c r="N73" s="94"/>
      <c r="O73" s="235" t="str">
        <f t="shared" si="6"/>
        <v xml:space="preserve"> </v>
      </c>
      <c r="P73" s="60"/>
      <c r="Q73" s="60"/>
      <c r="R73" s="60"/>
      <c r="S73" s="61"/>
      <c r="T73" s="60"/>
      <c r="U73" s="60"/>
      <c r="V73" s="60"/>
      <c r="W73" s="60"/>
      <c r="X73" s="60"/>
      <c r="Y73" s="60"/>
      <c r="Z73" s="60"/>
      <c r="AA73" s="60"/>
      <c r="AB73" s="60"/>
      <c r="AC73" s="8"/>
      <c r="AL73" s="8"/>
      <c r="AM73" s="363"/>
      <c r="AN73" s="808"/>
      <c r="AO73" s="293" t="s">
        <v>471</v>
      </c>
      <c r="AP73" s="299"/>
      <c r="AQ73" s="300"/>
      <c r="AR73" s="299"/>
      <c r="AS73" s="300"/>
      <c r="AT73" s="316" t="s">
        <v>1</v>
      </c>
      <c r="AU73" s="172" t="s">
        <v>1</v>
      </c>
      <c r="BF73" s="8"/>
      <c r="BG73" s="432"/>
      <c r="BH73" s="458" t="s">
        <v>272</v>
      </c>
      <c r="BI73" s="453"/>
      <c r="BJ73" s="120"/>
      <c r="BK73" s="453"/>
      <c r="BL73" s="120"/>
      <c r="BM73" s="431"/>
      <c r="BN73" s="646" t="s">
        <v>272</v>
      </c>
      <c r="BO73" s="453"/>
      <c r="BP73" s="120"/>
      <c r="BQ73" s="453"/>
      <c r="BR73" s="120"/>
      <c r="BS73" s="431"/>
      <c r="BT73" s="458" t="s">
        <v>272</v>
      </c>
      <c r="BU73" s="453"/>
      <c r="BV73" s="120"/>
      <c r="BW73" s="453"/>
      <c r="BX73" s="120"/>
      <c r="BY73" s="443"/>
    </row>
    <row r="74" spans="1:77" ht="16" thickBot="1" x14ac:dyDescent="0.3">
      <c r="A74" s="61"/>
      <c r="B74" s="60"/>
      <c r="C74" s="60"/>
      <c r="D74" s="60"/>
      <c r="E74" s="62"/>
      <c r="F74" s="62"/>
      <c r="G74" s="62"/>
      <c r="H74" s="62"/>
      <c r="I74" s="94"/>
      <c r="J74" s="93"/>
      <c r="K74" s="93"/>
      <c r="L74" s="93"/>
      <c r="M74" s="93"/>
      <c r="N74" s="93"/>
      <c r="O74" s="234" t="str">
        <f t="shared" si="6"/>
        <v xml:space="preserve"> </v>
      </c>
      <c r="P74" s="60"/>
      <c r="Q74" s="60"/>
      <c r="R74" s="60"/>
      <c r="S74" s="61"/>
      <c r="T74" s="60"/>
      <c r="U74" s="60"/>
      <c r="V74" s="60"/>
      <c r="W74" s="60"/>
      <c r="X74" s="60"/>
      <c r="Y74" s="60"/>
      <c r="Z74" s="60"/>
      <c r="AA74" s="60"/>
      <c r="AB74" s="60"/>
      <c r="AC74" s="8"/>
      <c r="AD74" s="698" t="s">
        <v>148</v>
      </c>
      <c r="AE74" s="699"/>
      <c r="AF74" s="699"/>
      <c r="AG74" s="699"/>
      <c r="AH74" s="700"/>
      <c r="AL74" s="8"/>
      <c r="AM74" s="363"/>
      <c r="AN74" s="808"/>
      <c r="AO74" s="313" t="s">
        <v>475</v>
      </c>
      <c r="AP74" s="296"/>
      <c r="AQ74" s="297"/>
      <c r="AR74" s="296"/>
      <c r="AS74" s="297"/>
      <c r="AT74" s="317" t="s">
        <v>1</v>
      </c>
      <c r="AU74" s="318" t="s">
        <v>1</v>
      </c>
      <c r="BG74" s="432"/>
      <c r="BH74" s="459" t="s">
        <v>45</v>
      </c>
      <c r="BI74" s="460"/>
      <c r="BJ74" s="461"/>
      <c r="BK74" s="460"/>
      <c r="BL74" s="461"/>
      <c r="BM74" s="462"/>
      <c r="BN74" s="463" t="s">
        <v>45</v>
      </c>
      <c r="BO74" s="460"/>
      <c r="BP74" s="461"/>
      <c r="BQ74" s="460"/>
      <c r="BR74" s="461"/>
      <c r="BS74" s="462"/>
      <c r="BT74" s="459" t="s">
        <v>45</v>
      </c>
      <c r="BU74" s="460"/>
      <c r="BV74" s="461"/>
      <c r="BW74" s="460"/>
      <c r="BX74" s="461"/>
      <c r="BY74" s="443"/>
    </row>
    <row r="75" spans="1:77" ht="16.5" thickTop="1" thickBot="1" x14ac:dyDescent="0.3">
      <c r="A75" s="61"/>
      <c r="B75" s="60"/>
      <c r="C75" s="60"/>
      <c r="D75" s="60"/>
      <c r="E75" s="62"/>
      <c r="F75" s="62"/>
      <c r="G75" s="62"/>
      <c r="H75" s="62"/>
      <c r="I75" s="94"/>
      <c r="J75" s="94"/>
      <c r="K75" s="94"/>
      <c r="L75" s="94"/>
      <c r="M75" s="94"/>
      <c r="N75" s="94"/>
      <c r="O75" s="235" t="str">
        <f t="shared" si="6"/>
        <v xml:space="preserve"> </v>
      </c>
      <c r="P75" s="60"/>
      <c r="Q75" s="60"/>
      <c r="R75" s="60"/>
      <c r="S75" s="61"/>
      <c r="T75" s="60"/>
      <c r="U75" s="60"/>
      <c r="V75" s="60"/>
      <c r="W75" s="60"/>
      <c r="X75" s="60"/>
      <c r="Y75" s="60"/>
      <c r="Z75" s="60"/>
      <c r="AA75" s="60"/>
      <c r="AB75" s="60"/>
      <c r="AC75" s="8"/>
      <c r="AD75" s="798" t="s">
        <v>204</v>
      </c>
      <c r="AE75" s="799"/>
      <c r="AF75" s="799"/>
      <c r="AG75" s="799"/>
      <c r="AH75" s="800"/>
      <c r="AL75" s="8"/>
      <c r="AM75" s="363"/>
      <c r="AN75" s="808"/>
      <c r="AO75" s="293" t="s">
        <v>476</v>
      </c>
      <c r="AP75" s="299"/>
      <c r="AQ75" s="300"/>
      <c r="AR75" s="299"/>
      <c r="AS75" s="300"/>
      <c r="AT75" s="316" t="s">
        <v>1</v>
      </c>
      <c r="AU75" s="172" t="s">
        <v>1</v>
      </c>
      <c r="BG75" s="432"/>
      <c r="BH75" s="469" t="s">
        <v>481</v>
      </c>
      <c r="BI75" s="464"/>
      <c r="BJ75" s="465"/>
      <c r="BK75" s="464"/>
      <c r="BL75" s="465"/>
      <c r="BM75" s="474"/>
      <c r="BN75" s="467" t="s">
        <v>481</v>
      </c>
      <c r="BO75" s="464"/>
      <c r="BP75" s="465"/>
      <c r="BQ75" s="464"/>
      <c r="BR75" s="465"/>
      <c r="BS75" s="474"/>
      <c r="BT75" s="467" t="s">
        <v>481</v>
      </c>
      <c r="BU75" s="464"/>
      <c r="BV75" s="465"/>
      <c r="BW75" s="464"/>
      <c r="BX75" s="465"/>
      <c r="BY75" s="443"/>
    </row>
    <row r="76" spans="1:77" ht="16" thickBot="1" x14ac:dyDescent="0.3">
      <c r="A76" s="61"/>
      <c r="B76" s="60"/>
      <c r="C76" s="60"/>
      <c r="D76" s="60"/>
      <c r="E76" s="62"/>
      <c r="F76" s="62"/>
      <c r="G76" s="62"/>
      <c r="H76" s="62"/>
      <c r="I76" s="94"/>
      <c r="J76" s="93"/>
      <c r="K76" s="93"/>
      <c r="L76" s="93"/>
      <c r="M76" s="93"/>
      <c r="N76" s="93"/>
      <c r="O76" s="234" t="str">
        <f t="shared" si="6"/>
        <v xml:space="preserve"> </v>
      </c>
      <c r="P76" s="60"/>
      <c r="Q76" s="60"/>
      <c r="R76" s="60"/>
      <c r="S76" s="61"/>
      <c r="T76" s="60"/>
      <c r="U76" s="60"/>
      <c r="V76" s="60"/>
      <c r="W76" s="60"/>
      <c r="X76" s="60"/>
      <c r="Y76" s="60"/>
      <c r="Z76" s="60"/>
      <c r="AA76" s="60"/>
      <c r="AB76" s="60"/>
      <c r="AC76" s="8"/>
      <c r="AD76" s="765" t="s">
        <v>227</v>
      </c>
      <c r="AE76" s="766"/>
      <c r="AF76" s="766"/>
      <c r="AG76" s="766"/>
      <c r="AH76" s="767"/>
      <c r="AL76" s="8"/>
      <c r="AM76" s="363"/>
      <c r="AN76" s="808"/>
      <c r="AO76" s="313" t="s">
        <v>477</v>
      </c>
      <c r="AP76" s="296"/>
      <c r="AQ76" s="297"/>
      <c r="AR76" s="296"/>
      <c r="AS76" s="297"/>
      <c r="AT76" s="317"/>
      <c r="AU76" s="318"/>
      <c r="BG76" s="444"/>
      <c r="BH76" s="445"/>
      <c r="BI76" s="445"/>
      <c r="BJ76" s="445"/>
      <c r="BK76" s="445"/>
      <c r="BL76" s="445"/>
      <c r="BM76" s="445"/>
      <c r="BN76" s="445"/>
      <c r="BO76" s="445"/>
      <c r="BP76" s="445"/>
      <c r="BQ76" s="445"/>
      <c r="BR76" s="445"/>
      <c r="BS76" s="445"/>
      <c r="BT76" s="445"/>
      <c r="BU76" s="445"/>
      <c r="BV76" s="445"/>
      <c r="BW76" s="445"/>
      <c r="BX76" s="445"/>
      <c r="BY76" s="446"/>
    </row>
    <row r="77" spans="1:77" ht="13" x14ac:dyDescent="0.25">
      <c r="A77" s="61"/>
      <c r="B77" s="60"/>
      <c r="C77" s="60"/>
      <c r="D77" s="60"/>
      <c r="E77" s="62"/>
      <c r="F77" s="62"/>
      <c r="G77" s="62"/>
      <c r="H77" s="62"/>
      <c r="I77" s="94"/>
      <c r="J77" s="94"/>
      <c r="K77" s="94"/>
      <c r="L77" s="94"/>
      <c r="M77" s="94"/>
      <c r="N77" s="94"/>
      <c r="O77" s="235" t="str">
        <f t="shared" si="6"/>
        <v xml:space="preserve"> </v>
      </c>
      <c r="P77" s="60"/>
      <c r="Q77" s="60"/>
      <c r="R77" s="60"/>
      <c r="S77" s="61"/>
      <c r="T77" s="60"/>
      <c r="U77" s="60"/>
      <c r="V77" s="60"/>
      <c r="W77" s="60"/>
      <c r="X77" s="60"/>
      <c r="Y77" s="60"/>
      <c r="Z77" s="60"/>
      <c r="AA77" s="60"/>
      <c r="AB77" s="60"/>
      <c r="AC77" s="8"/>
      <c r="AD77" s="706" t="s">
        <v>166</v>
      </c>
      <c r="AE77" s="704" t="s">
        <v>167</v>
      </c>
      <c r="AF77" s="705"/>
      <c r="AG77" s="704" t="s">
        <v>168</v>
      </c>
      <c r="AH77" s="705"/>
      <c r="AL77" s="8"/>
      <c r="AM77" s="363"/>
      <c r="AN77" s="804"/>
      <c r="AO77" s="805"/>
      <c r="AP77" s="805"/>
      <c r="AQ77" s="805"/>
      <c r="AR77" s="805"/>
      <c r="AS77" s="805"/>
      <c r="AT77" s="805"/>
      <c r="AU77" s="806"/>
    </row>
    <row r="78" spans="1:77" ht="13.5" thickBot="1" x14ac:dyDescent="0.3">
      <c r="A78" s="61"/>
      <c r="B78" s="60"/>
      <c r="C78" s="60"/>
      <c r="D78" s="60"/>
      <c r="E78" s="62"/>
      <c r="F78" s="62"/>
      <c r="G78" s="62"/>
      <c r="H78" s="62"/>
      <c r="I78" s="94"/>
      <c r="J78" s="93"/>
      <c r="K78" s="93"/>
      <c r="L78" s="93"/>
      <c r="M78" s="93"/>
      <c r="N78" s="93"/>
      <c r="O78" s="234" t="str">
        <f t="shared" si="6"/>
        <v xml:space="preserve"> </v>
      </c>
      <c r="P78" s="60"/>
      <c r="Q78" s="60"/>
      <c r="R78" s="60"/>
      <c r="S78" s="61"/>
      <c r="T78" s="60"/>
      <c r="U78" s="60"/>
      <c r="V78" s="60"/>
      <c r="W78" s="60"/>
      <c r="X78" s="60"/>
      <c r="Y78" s="60"/>
      <c r="Z78" s="60"/>
      <c r="AA78" s="60"/>
      <c r="AB78" s="60"/>
      <c r="AC78" s="8"/>
      <c r="AD78" s="707"/>
      <c r="AE78" s="168" t="s">
        <v>172</v>
      </c>
      <c r="AF78" s="169" t="s">
        <v>173</v>
      </c>
      <c r="AG78" s="182" t="s">
        <v>172</v>
      </c>
      <c r="AH78" s="169" t="s">
        <v>173</v>
      </c>
      <c r="AL78" s="8"/>
      <c r="AM78" s="363"/>
      <c r="AN78" s="808" t="s">
        <v>465</v>
      </c>
      <c r="AO78" s="319" t="s">
        <v>474</v>
      </c>
      <c r="AP78" s="296">
        <f>AI$68</f>
        <v>0</v>
      </c>
      <c r="AQ78" s="297">
        <f>AJ$68</f>
        <v>0</v>
      </c>
      <c r="AR78" s="296">
        <f>AK$68</f>
        <v>0</v>
      </c>
      <c r="AS78" s="297">
        <f>AL$68</f>
        <v>0</v>
      </c>
      <c r="AT78" s="298" t="s">
        <v>1</v>
      </c>
      <c r="AU78" s="120" t="s">
        <v>1</v>
      </c>
    </row>
    <row r="79" spans="1:77" ht="13" x14ac:dyDescent="0.25">
      <c r="A79" s="61"/>
      <c r="B79" s="60"/>
      <c r="C79" s="60"/>
      <c r="D79" s="60"/>
      <c r="E79" s="62"/>
      <c r="F79" s="62"/>
      <c r="G79" s="62"/>
      <c r="H79" s="62"/>
      <c r="I79" s="94"/>
      <c r="J79" s="94"/>
      <c r="K79" s="94"/>
      <c r="L79" s="94"/>
      <c r="M79" s="94"/>
      <c r="N79" s="94"/>
      <c r="O79" s="235" t="str">
        <f t="shared" si="6"/>
        <v xml:space="preserve"> </v>
      </c>
      <c r="P79" s="60"/>
      <c r="Q79" s="60"/>
      <c r="R79" s="60"/>
      <c r="S79" s="61"/>
      <c r="T79" s="60"/>
      <c r="U79" s="60"/>
      <c r="V79" s="60"/>
      <c r="W79" s="60"/>
      <c r="X79" s="60"/>
      <c r="Y79" s="60"/>
      <c r="Z79" s="60"/>
      <c r="AA79" s="60"/>
      <c r="AB79" s="60"/>
      <c r="AC79" s="8"/>
      <c r="AD79" s="164" t="s">
        <v>65</v>
      </c>
      <c r="AE79" s="165"/>
      <c r="AF79" s="166"/>
      <c r="AG79" s="165"/>
      <c r="AH79" s="166"/>
      <c r="AL79" s="8"/>
      <c r="AM79" s="363"/>
      <c r="AN79" s="808"/>
      <c r="AO79" s="293" t="s">
        <v>483</v>
      </c>
      <c r="AP79" s="299"/>
      <c r="AQ79" s="300"/>
      <c r="AR79" s="299"/>
      <c r="AS79" s="300"/>
      <c r="AT79" s="316" t="s">
        <v>1</v>
      </c>
      <c r="AU79" s="172" t="s">
        <v>1</v>
      </c>
    </row>
    <row r="80" spans="1:77" ht="13" x14ac:dyDescent="0.25">
      <c r="A80" s="61"/>
      <c r="B80" s="60"/>
      <c r="C80" s="60"/>
      <c r="D80" s="60"/>
      <c r="E80" s="62"/>
      <c r="F80" s="62"/>
      <c r="G80" s="62"/>
      <c r="H80" s="62"/>
      <c r="I80" s="94"/>
      <c r="J80" s="93"/>
      <c r="K80" s="93"/>
      <c r="L80" s="93"/>
      <c r="M80" s="93"/>
      <c r="N80" s="93"/>
      <c r="O80" s="234" t="str">
        <f t="shared" si="6"/>
        <v xml:space="preserve"> </v>
      </c>
      <c r="P80" s="60"/>
      <c r="Q80" s="60"/>
      <c r="R80" s="60"/>
      <c r="S80" s="61"/>
      <c r="T80" s="60"/>
      <c r="U80" s="60"/>
      <c r="V80" s="60"/>
      <c r="W80" s="60"/>
      <c r="X80" s="60"/>
      <c r="Y80" s="60"/>
      <c r="Z80" s="60"/>
      <c r="AA80" s="60"/>
      <c r="AB80" s="60"/>
      <c r="AC80" s="8"/>
      <c r="AD80" s="170" t="s">
        <v>358</v>
      </c>
      <c r="AE80" s="171"/>
      <c r="AF80" s="172"/>
      <c r="AG80" s="171"/>
      <c r="AH80" s="172"/>
      <c r="AL80" s="8"/>
      <c r="AM80" s="363"/>
      <c r="AN80" s="808"/>
      <c r="AO80" s="313" t="s">
        <v>472</v>
      </c>
      <c r="AP80" s="296"/>
      <c r="AQ80" s="297"/>
      <c r="AR80" s="296"/>
      <c r="AS80" s="297"/>
      <c r="AT80" s="317" t="s">
        <v>1</v>
      </c>
      <c r="AU80" s="318" t="s">
        <v>1</v>
      </c>
    </row>
    <row r="81" spans="1:47" ht="13" x14ac:dyDescent="0.25">
      <c r="A81" s="61"/>
      <c r="B81" s="60"/>
      <c r="C81" s="60"/>
      <c r="D81" s="60"/>
      <c r="E81" s="62"/>
      <c r="F81" s="62"/>
      <c r="G81" s="62"/>
      <c r="H81" s="62"/>
      <c r="I81" s="94"/>
      <c r="J81" s="94"/>
      <c r="K81" s="94"/>
      <c r="L81" s="94"/>
      <c r="M81" s="94"/>
      <c r="N81" s="94"/>
      <c r="O81" s="235" t="str">
        <f t="shared" si="6"/>
        <v xml:space="preserve"> </v>
      </c>
      <c r="P81" s="60"/>
      <c r="Q81" s="60"/>
      <c r="R81" s="60"/>
      <c r="S81" s="61"/>
      <c r="T81" s="60"/>
      <c r="U81" s="60"/>
      <c r="V81" s="60"/>
      <c r="W81" s="60"/>
      <c r="X81" s="60"/>
      <c r="Y81" s="60"/>
      <c r="Z81" s="60"/>
      <c r="AA81" s="60"/>
      <c r="AB81" s="60"/>
      <c r="AC81" s="8"/>
      <c r="AD81" s="170" t="s">
        <v>217</v>
      </c>
      <c r="AE81" s="171"/>
      <c r="AF81" s="172"/>
      <c r="AG81" s="171"/>
      <c r="AH81" s="172"/>
      <c r="AL81" s="8"/>
      <c r="AM81" s="363"/>
      <c r="AN81" s="808"/>
      <c r="AO81" s="293" t="s">
        <v>475</v>
      </c>
      <c r="AP81" s="299"/>
      <c r="AQ81" s="300"/>
      <c r="AR81" s="299"/>
      <c r="AS81" s="300"/>
      <c r="AT81" s="316" t="s">
        <v>1</v>
      </c>
      <c r="AU81" s="172" t="s">
        <v>1</v>
      </c>
    </row>
    <row r="82" spans="1:47" ht="13" x14ac:dyDescent="0.25">
      <c r="A82" s="61"/>
      <c r="B82" s="60"/>
      <c r="C82" s="60"/>
      <c r="D82" s="60"/>
      <c r="E82" s="62"/>
      <c r="F82" s="62"/>
      <c r="G82" s="62"/>
      <c r="H82" s="62"/>
      <c r="I82" s="94"/>
      <c r="J82" s="93"/>
      <c r="K82" s="93"/>
      <c r="L82" s="93"/>
      <c r="M82" s="93"/>
      <c r="N82" s="93"/>
      <c r="O82" s="234" t="str">
        <f t="shared" si="6"/>
        <v xml:space="preserve"> </v>
      </c>
      <c r="P82" s="60"/>
      <c r="Q82" s="60"/>
      <c r="R82" s="60"/>
      <c r="S82" s="61"/>
      <c r="T82" s="60"/>
      <c r="U82" s="60"/>
      <c r="V82" s="60"/>
      <c r="W82" s="60"/>
      <c r="X82" s="60"/>
      <c r="Y82" s="60"/>
      <c r="Z82" s="60"/>
      <c r="AA82" s="60"/>
      <c r="AB82" s="60"/>
      <c r="AC82" s="8"/>
      <c r="AD82" s="170" t="s">
        <v>220</v>
      </c>
      <c r="AE82" s="171"/>
      <c r="AF82" s="172"/>
      <c r="AG82" s="171"/>
      <c r="AH82" s="172"/>
      <c r="AL82" s="8"/>
      <c r="AM82" s="363"/>
      <c r="AN82" s="808"/>
      <c r="AO82" s="313" t="s">
        <v>476</v>
      </c>
      <c r="AP82" s="296"/>
      <c r="AQ82" s="297"/>
      <c r="AR82" s="296"/>
      <c r="AS82" s="297"/>
      <c r="AT82" s="317" t="s">
        <v>1</v>
      </c>
      <c r="AU82" s="318" t="s">
        <v>1</v>
      </c>
    </row>
    <row r="83" spans="1:47" ht="13" x14ac:dyDescent="0.25">
      <c r="A83" s="61"/>
      <c r="B83" s="60"/>
      <c r="C83" s="60"/>
      <c r="D83" s="60"/>
      <c r="E83" s="62"/>
      <c r="F83" s="62"/>
      <c r="G83" s="62"/>
      <c r="H83" s="62"/>
      <c r="I83" s="94"/>
      <c r="J83" s="94"/>
      <c r="K83" s="94"/>
      <c r="L83" s="94"/>
      <c r="M83" s="94"/>
      <c r="N83" s="94"/>
      <c r="O83" s="235" t="str">
        <f t="shared" si="6"/>
        <v xml:space="preserve"> </v>
      </c>
      <c r="P83" s="60"/>
      <c r="Q83" s="60"/>
      <c r="R83" s="60"/>
      <c r="S83" s="61"/>
      <c r="T83" s="60"/>
      <c r="U83" s="60"/>
      <c r="V83" s="60"/>
      <c r="W83" s="60"/>
      <c r="X83" s="60"/>
      <c r="Y83" s="60"/>
      <c r="Z83" s="60"/>
      <c r="AA83" s="60"/>
      <c r="AB83" s="60"/>
      <c r="AC83" s="8"/>
      <c r="AD83" s="170" t="s">
        <v>229</v>
      </c>
      <c r="AE83" s="171"/>
      <c r="AF83" s="172"/>
      <c r="AG83" s="171"/>
      <c r="AH83" s="172"/>
      <c r="AL83" s="8"/>
      <c r="AM83" s="363"/>
      <c r="AN83" s="808"/>
      <c r="AO83" s="293" t="s">
        <v>477</v>
      </c>
      <c r="AP83" s="299"/>
      <c r="AQ83" s="300"/>
      <c r="AR83" s="299"/>
      <c r="AS83" s="300"/>
      <c r="AT83" s="316" t="s">
        <v>1</v>
      </c>
      <c r="AU83" s="172" t="s">
        <v>1</v>
      </c>
    </row>
    <row r="84" spans="1:47" ht="13.5" thickBot="1" x14ac:dyDescent="0.3">
      <c r="A84" s="61"/>
      <c r="B84" s="60"/>
      <c r="C84" s="60"/>
      <c r="D84" s="60"/>
      <c r="E84" s="62"/>
      <c r="F84" s="62"/>
      <c r="G84" s="62"/>
      <c r="H84" s="62"/>
      <c r="I84" s="94"/>
      <c r="J84" s="93"/>
      <c r="K84" s="93"/>
      <c r="L84" s="93"/>
      <c r="M84" s="93"/>
      <c r="N84" s="93"/>
      <c r="O84" s="234" t="str">
        <f t="shared" si="6"/>
        <v xml:space="preserve"> </v>
      </c>
      <c r="P84" s="60"/>
      <c r="Q84" s="60"/>
      <c r="R84" s="60"/>
      <c r="S84" s="61"/>
      <c r="T84" s="60"/>
      <c r="U84" s="60"/>
      <c r="V84" s="60"/>
      <c r="W84" s="60"/>
      <c r="X84" s="60"/>
      <c r="Y84" s="60"/>
      <c r="Z84" s="60"/>
      <c r="AA84" s="60"/>
      <c r="AB84" s="60"/>
      <c r="AC84" s="8"/>
      <c r="AD84" s="361" t="s">
        <v>236</v>
      </c>
      <c r="AE84" s="175"/>
      <c r="AF84" s="176"/>
      <c r="AG84" s="175"/>
      <c r="AH84" s="176"/>
      <c r="AL84" s="8"/>
      <c r="AM84" s="363"/>
      <c r="AN84" s="839"/>
      <c r="AO84" s="840"/>
      <c r="AP84" s="840"/>
      <c r="AQ84" s="840"/>
      <c r="AR84" s="840"/>
      <c r="AS84" s="840"/>
      <c r="AT84" s="840"/>
      <c r="AU84" s="841"/>
    </row>
    <row r="85" spans="1:47" ht="14" thickTop="1" thickBot="1" x14ac:dyDescent="0.3">
      <c r="A85" s="61"/>
      <c r="B85" s="60"/>
      <c r="C85" s="60"/>
      <c r="D85" s="60"/>
      <c r="E85" s="62"/>
      <c r="F85" s="62"/>
      <c r="G85" s="62"/>
      <c r="H85" s="62"/>
      <c r="I85" s="94"/>
      <c r="J85" s="94"/>
      <c r="K85" s="94"/>
      <c r="L85" s="94"/>
      <c r="M85" s="94"/>
      <c r="N85" s="94"/>
      <c r="O85" s="235" t="str">
        <f t="shared" si="6"/>
        <v xml:space="preserve"> </v>
      </c>
      <c r="P85" s="60"/>
      <c r="Q85" s="60"/>
      <c r="R85" s="60"/>
      <c r="S85" s="61"/>
      <c r="T85" s="60"/>
      <c r="U85" s="60"/>
      <c r="V85" s="60"/>
      <c r="W85" s="60"/>
      <c r="X85" s="60"/>
      <c r="Y85" s="60"/>
      <c r="Z85" s="60"/>
      <c r="AA85" s="60"/>
      <c r="AB85" s="60"/>
      <c r="AC85" s="8"/>
      <c r="AD85" s="178" t="s">
        <v>181</v>
      </c>
      <c r="AE85" s="189">
        <f>SUM(AE79:AE84)</f>
        <v>0</v>
      </c>
      <c r="AF85" s="180">
        <f>SUM(AF79:AF84)</f>
        <v>0</v>
      </c>
      <c r="AG85" s="359">
        <f>SUM(AG79:AG84)</f>
        <v>0</v>
      </c>
      <c r="AH85" s="360">
        <f>SUM(AH79:AH84)</f>
        <v>0</v>
      </c>
      <c r="AM85" s="321"/>
    </row>
    <row r="86" spans="1:47" ht="13" x14ac:dyDescent="0.25">
      <c r="A86" s="61"/>
      <c r="B86" s="60"/>
      <c r="C86" s="60"/>
      <c r="D86" s="60"/>
      <c r="E86" s="62"/>
      <c r="F86" s="62"/>
      <c r="G86" s="62"/>
      <c r="H86" s="62"/>
      <c r="I86" s="94"/>
      <c r="J86" s="93"/>
      <c r="K86" s="93"/>
      <c r="L86" s="93"/>
      <c r="M86" s="93"/>
      <c r="N86" s="93"/>
      <c r="O86" s="234" t="str">
        <f t="shared" si="6"/>
        <v xml:space="preserve"> </v>
      </c>
      <c r="P86" s="60"/>
      <c r="Q86" s="60"/>
      <c r="R86" s="60"/>
      <c r="S86" s="61"/>
      <c r="T86" s="60"/>
      <c r="U86" s="60"/>
      <c r="V86" s="60"/>
      <c r="W86" s="60"/>
      <c r="X86" s="60"/>
      <c r="Y86" s="60"/>
      <c r="Z86" s="60"/>
      <c r="AA86" s="60"/>
      <c r="AB86" s="60"/>
      <c r="AC86" s="8"/>
    </row>
    <row r="87" spans="1:47" ht="13" x14ac:dyDescent="0.25">
      <c r="A87" s="61"/>
      <c r="B87" s="60"/>
      <c r="C87" s="60"/>
      <c r="D87" s="60"/>
      <c r="E87" s="62"/>
      <c r="F87" s="62"/>
      <c r="G87" s="62"/>
      <c r="H87" s="62"/>
      <c r="I87" s="94"/>
      <c r="J87" s="94"/>
      <c r="K87" s="94"/>
      <c r="L87" s="94"/>
      <c r="M87" s="94"/>
      <c r="N87" s="94"/>
      <c r="O87" s="235" t="str">
        <f t="shared" si="6"/>
        <v xml:space="preserve"> </v>
      </c>
      <c r="P87" s="60"/>
      <c r="Q87" s="60"/>
      <c r="R87" s="60"/>
      <c r="S87" s="61"/>
      <c r="T87" s="60"/>
      <c r="U87" s="60"/>
      <c r="V87" s="60"/>
      <c r="W87" s="60"/>
      <c r="X87" s="60"/>
      <c r="Y87" s="60"/>
      <c r="Z87" s="60"/>
      <c r="AA87" s="60"/>
      <c r="AB87" s="60"/>
      <c r="AC87" s="8"/>
    </row>
    <row r="88" spans="1:47" ht="13" x14ac:dyDescent="0.25">
      <c r="A88" s="61"/>
      <c r="B88" s="60"/>
      <c r="C88" s="60"/>
      <c r="D88" s="60"/>
      <c r="E88" s="62"/>
      <c r="F88" s="62"/>
      <c r="G88" s="62"/>
      <c r="H88" s="62"/>
      <c r="I88" s="94"/>
      <c r="J88" s="93"/>
      <c r="K88" s="93"/>
      <c r="L88" s="93"/>
      <c r="M88" s="93"/>
      <c r="N88" s="93"/>
      <c r="O88" s="234" t="str">
        <f t="shared" si="6"/>
        <v xml:space="preserve"> </v>
      </c>
      <c r="P88" s="60"/>
      <c r="Q88" s="60"/>
      <c r="R88" s="60"/>
      <c r="S88" s="61"/>
      <c r="T88" s="60"/>
      <c r="U88" s="60"/>
      <c r="V88" s="60"/>
      <c r="W88" s="60"/>
      <c r="X88" s="60"/>
      <c r="Y88" s="60"/>
      <c r="Z88" s="60"/>
      <c r="AA88" s="60"/>
      <c r="AB88" s="60"/>
      <c r="AC88" s="8"/>
    </row>
    <row r="89" spans="1:47" ht="13" x14ac:dyDescent="0.25">
      <c r="A89" s="61"/>
      <c r="B89" s="60"/>
      <c r="C89" s="60"/>
      <c r="D89" s="60"/>
      <c r="E89" s="62"/>
      <c r="F89" s="62"/>
      <c r="G89" s="62"/>
      <c r="H89" s="62"/>
      <c r="I89" s="94"/>
      <c r="J89" s="94"/>
      <c r="K89" s="94"/>
      <c r="L89" s="94"/>
      <c r="M89" s="94"/>
      <c r="N89" s="94"/>
      <c r="O89" s="235" t="str">
        <f t="shared" si="6"/>
        <v xml:space="preserve"> </v>
      </c>
      <c r="P89" s="60"/>
      <c r="Q89" s="60"/>
      <c r="R89" s="60"/>
      <c r="S89" s="61"/>
      <c r="T89" s="60"/>
      <c r="U89" s="60"/>
      <c r="V89" s="60"/>
      <c r="W89" s="60"/>
      <c r="X89" s="60"/>
      <c r="Y89" s="60"/>
      <c r="Z89" s="60"/>
      <c r="AA89" s="60"/>
      <c r="AB89" s="60"/>
      <c r="AC89" s="8"/>
    </row>
    <row r="90" spans="1:47" ht="13" x14ac:dyDescent="0.25">
      <c r="A90" s="61"/>
      <c r="B90" s="60"/>
      <c r="C90" s="60"/>
      <c r="D90" s="60"/>
      <c r="E90" s="62"/>
      <c r="F90" s="62"/>
      <c r="G90" s="62"/>
      <c r="H90" s="62"/>
      <c r="I90" s="94"/>
      <c r="J90" s="93"/>
      <c r="K90" s="93"/>
      <c r="L90" s="93"/>
      <c r="M90" s="93"/>
      <c r="N90" s="93"/>
      <c r="O90" s="234" t="str">
        <f t="shared" si="6"/>
        <v xml:space="preserve"> </v>
      </c>
      <c r="P90" s="60"/>
      <c r="Q90" s="60"/>
      <c r="R90" s="60"/>
      <c r="S90" s="61"/>
      <c r="T90" s="60"/>
      <c r="U90" s="60"/>
      <c r="V90" s="60"/>
      <c r="W90" s="60"/>
      <c r="X90" s="60"/>
      <c r="Y90" s="60"/>
      <c r="Z90" s="60"/>
      <c r="AA90" s="60"/>
      <c r="AB90" s="60"/>
      <c r="AC90" s="8"/>
    </row>
    <row r="91" spans="1:47" ht="13" x14ac:dyDescent="0.25">
      <c r="A91" s="61"/>
      <c r="B91" s="60"/>
      <c r="C91" s="60"/>
      <c r="D91" s="60"/>
      <c r="E91" s="62"/>
      <c r="F91" s="62"/>
      <c r="G91" s="62"/>
      <c r="H91" s="62"/>
      <c r="I91" s="94"/>
      <c r="J91" s="94"/>
      <c r="K91" s="94"/>
      <c r="L91" s="94"/>
      <c r="M91" s="94"/>
      <c r="N91" s="94"/>
      <c r="O91" s="235" t="str">
        <f t="shared" si="6"/>
        <v xml:space="preserve"> </v>
      </c>
      <c r="P91" s="60"/>
      <c r="Q91" s="60"/>
      <c r="R91" s="60"/>
      <c r="S91" s="61"/>
      <c r="T91" s="60"/>
      <c r="U91" s="60"/>
      <c r="V91" s="60"/>
      <c r="W91" s="60"/>
      <c r="X91" s="60"/>
      <c r="Y91" s="60"/>
      <c r="Z91" s="60"/>
      <c r="AA91" s="60"/>
      <c r="AB91" s="60"/>
      <c r="AC91" s="8"/>
    </row>
    <row r="92" spans="1:47" ht="13" x14ac:dyDescent="0.25">
      <c r="A92" s="61"/>
      <c r="B92" s="60"/>
      <c r="C92" s="60"/>
      <c r="D92" s="60"/>
      <c r="E92" s="62"/>
      <c r="F92" s="62"/>
      <c r="G92" s="62"/>
      <c r="H92" s="62"/>
      <c r="I92" s="94"/>
      <c r="J92" s="93"/>
      <c r="K92" s="93"/>
      <c r="L92" s="93"/>
      <c r="M92" s="93"/>
      <c r="N92" s="93"/>
      <c r="O92" s="234" t="str">
        <f t="shared" si="6"/>
        <v xml:space="preserve"> </v>
      </c>
      <c r="P92" s="60"/>
      <c r="Q92" s="60"/>
      <c r="R92" s="60"/>
      <c r="S92" s="61"/>
      <c r="T92" s="60"/>
      <c r="U92" s="60"/>
      <c r="V92" s="60"/>
      <c r="W92" s="60"/>
      <c r="X92" s="60"/>
      <c r="Y92" s="60"/>
      <c r="Z92" s="60"/>
      <c r="AA92" s="60"/>
      <c r="AB92" s="60"/>
      <c r="AC92" s="8"/>
    </row>
    <row r="93" spans="1:47" ht="13" x14ac:dyDescent="0.25">
      <c r="A93" s="61"/>
      <c r="B93" s="60"/>
      <c r="C93" s="60"/>
      <c r="D93" s="60"/>
      <c r="E93" s="62"/>
      <c r="F93" s="62"/>
      <c r="G93" s="62"/>
      <c r="H93" s="62"/>
      <c r="I93" s="94"/>
      <c r="J93" s="94"/>
      <c r="K93" s="94"/>
      <c r="L93" s="94"/>
      <c r="M93" s="94"/>
      <c r="N93" s="94"/>
      <c r="O93" s="235" t="str">
        <f t="shared" si="6"/>
        <v xml:space="preserve"> </v>
      </c>
      <c r="P93" s="60"/>
      <c r="Q93" s="60"/>
      <c r="R93" s="60"/>
      <c r="S93" s="61"/>
      <c r="T93" s="60"/>
      <c r="U93" s="60"/>
      <c r="V93" s="60"/>
      <c r="W93" s="60"/>
      <c r="X93" s="60"/>
      <c r="Y93" s="60"/>
      <c r="Z93" s="60"/>
      <c r="AA93" s="60"/>
      <c r="AB93" s="60"/>
      <c r="AC93" s="8"/>
    </row>
    <row r="94" spans="1:47" ht="13" x14ac:dyDescent="0.25">
      <c r="A94" s="61"/>
      <c r="B94" s="60"/>
      <c r="C94" s="60"/>
      <c r="D94" s="60"/>
      <c r="E94" s="62"/>
      <c r="F94" s="62"/>
      <c r="G94" s="62"/>
      <c r="H94" s="62"/>
      <c r="I94" s="94"/>
      <c r="J94" s="93"/>
      <c r="K94" s="93"/>
      <c r="L94" s="93"/>
      <c r="M94" s="93"/>
      <c r="N94" s="93"/>
      <c r="O94" s="234" t="str">
        <f t="shared" si="6"/>
        <v xml:space="preserve"> </v>
      </c>
      <c r="P94" s="60"/>
      <c r="Q94" s="60"/>
      <c r="R94" s="60"/>
      <c r="S94" s="61"/>
      <c r="T94" s="60"/>
      <c r="U94" s="60"/>
      <c r="V94" s="60"/>
      <c r="W94" s="60"/>
      <c r="X94" s="60"/>
      <c r="Y94" s="60"/>
      <c r="Z94" s="60"/>
      <c r="AA94" s="60"/>
      <c r="AB94" s="60"/>
      <c r="AC94" s="8"/>
    </row>
    <row r="95" spans="1:47" ht="13" x14ac:dyDescent="0.25">
      <c r="A95" s="61"/>
      <c r="B95" s="60"/>
      <c r="C95" s="60"/>
      <c r="D95" s="60"/>
      <c r="E95" s="62"/>
      <c r="F95" s="62"/>
      <c r="G95" s="62"/>
      <c r="H95" s="62"/>
      <c r="I95" s="94"/>
      <c r="J95" s="94"/>
      <c r="K95" s="94"/>
      <c r="L95" s="94"/>
      <c r="M95" s="94"/>
      <c r="N95" s="94"/>
      <c r="O95" s="235" t="str">
        <f t="shared" si="6"/>
        <v xml:space="preserve"> </v>
      </c>
      <c r="P95" s="60"/>
      <c r="Q95" s="60"/>
      <c r="R95" s="60"/>
      <c r="S95" s="61"/>
      <c r="T95" s="60"/>
      <c r="U95" s="60"/>
      <c r="V95" s="60"/>
      <c r="W95" s="60"/>
      <c r="X95" s="60"/>
      <c r="Y95" s="60"/>
      <c r="Z95" s="60"/>
      <c r="AA95" s="60"/>
      <c r="AB95" s="60"/>
      <c r="AC95" s="8"/>
    </row>
    <row r="96" spans="1:47" ht="13" x14ac:dyDescent="0.25">
      <c r="A96" s="61"/>
      <c r="B96" s="60"/>
      <c r="C96" s="60"/>
      <c r="D96" s="60"/>
      <c r="E96" s="62"/>
      <c r="F96" s="62"/>
      <c r="G96" s="62"/>
      <c r="H96" s="62"/>
      <c r="I96" s="94"/>
      <c r="J96" s="93"/>
      <c r="K96" s="93"/>
      <c r="L96" s="93"/>
      <c r="M96" s="93"/>
      <c r="N96" s="93"/>
      <c r="O96" s="234" t="str">
        <f t="shared" si="6"/>
        <v xml:space="preserve"> </v>
      </c>
      <c r="P96" s="60"/>
      <c r="Q96" s="60"/>
      <c r="R96" s="60"/>
      <c r="S96" s="61"/>
      <c r="T96" s="60"/>
      <c r="U96" s="60"/>
      <c r="V96" s="60"/>
      <c r="W96" s="60"/>
      <c r="X96" s="60"/>
      <c r="Y96" s="60"/>
      <c r="Z96" s="60"/>
      <c r="AA96" s="60"/>
      <c r="AB96" s="60"/>
      <c r="AC96" s="8"/>
    </row>
    <row r="97" spans="1:29" ht="13" x14ac:dyDescent="0.25">
      <c r="A97" s="61"/>
      <c r="B97" s="60"/>
      <c r="C97" s="60"/>
      <c r="D97" s="60"/>
      <c r="E97" s="62"/>
      <c r="F97" s="62"/>
      <c r="G97" s="62"/>
      <c r="H97" s="62"/>
      <c r="I97" s="94"/>
      <c r="J97" s="94"/>
      <c r="K97" s="94"/>
      <c r="L97" s="94"/>
      <c r="M97" s="94"/>
      <c r="N97" s="94"/>
      <c r="O97" s="235" t="str">
        <f t="shared" si="6"/>
        <v xml:space="preserve"> </v>
      </c>
      <c r="P97" s="60"/>
      <c r="Q97" s="60"/>
      <c r="R97" s="60"/>
      <c r="S97" s="61"/>
      <c r="T97" s="60"/>
      <c r="U97" s="60"/>
      <c r="V97" s="60"/>
      <c r="W97" s="60"/>
      <c r="X97" s="60"/>
      <c r="Y97" s="60"/>
      <c r="Z97" s="60"/>
      <c r="AA97" s="60"/>
      <c r="AB97" s="60"/>
      <c r="AC97" s="8"/>
    </row>
    <row r="98" spans="1:29" ht="13" x14ac:dyDescent="0.25">
      <c r="A98" s="61"/>
      <c r="B98" s="60"/>
      <c r="C98" s="60"/>
      <c r="D98" s="60"/>
      <c r="E98" s="62"/>
      <c r="F98" s="62"/>
      <c r="G98" s="62"/>
      <c r="H98" s="62"/>
      <c r="I98" s="94"/>
      <c r="J98" s="93"/>
      <c r="K98" s="93"/>
      <c r="L98" s="93"/>
      <c r="M98" s="93"/>
      <c r="N98" s="93"/>
      <c r="O98" s="234" t="str">
        <f t="shared" si="6"/>
        <v xml:space="preserve"> </v>
      </c>
      <c r="P98" s="60"/>
      <c r="Q98" s="60"/>
      <c r="R98" s="60"/>
      <c r="S98" s="61"/>
      <c r="T98" s="60"/>
      <c r="U98" s="60"/>
      <c r="V98" s="60"/>
      <c r="W98" s="60"/>
      <c r="X98" s="60"/>
      <c r="Y98" s="60"/>
      <c r="Z98" s="60"/>
      <c r="AA98" s="60"/>
      <c r="AB98" s="60"/>
      <c r="AC98" s="8"/>
    </row>
    <row r="99" spans="1:29" ht="13" x14ac:dyDescent="0.25">
      <c r="A99" s="61"/>
      <c r="B99" s="60"/>
      <c r="C99" s="60"/>
      <c r="D99" s="60"/>
      <c r="E99" s="62"/>
      <c r="F99" s="62"/>
      <c r="G99" s="62"/>
      <c r="H99" s="62"/>
      <c r="I99" s="94"/>
      <c r="J99" s="94"/>
      <c r="K99" s="94"/>
      <c r="L99" s="94"/>
      <c r="M99" s="94"/>
      <c r="N99" s="94"/>
      <c r="O99" s="235" t="str">
        <f t="shared" si="6"/>
        <v xml:space="preserve"> </v>
      </c>
      <c r="P99" s="60"/>
      <c r="Q99" s="60"/>
      <c r="R99" s="60"/>
      <c r="S99" s="61"/>
      <c r="T99" s="60"/>
      <c r="U99" s="60"/>
      <c r="V99" s="60"/>
      <c r="W99" s="60"/>
      <c r="X99" s="60"/>
      <c r="Y99" s="60"/>
      <c r="Z99" s="60"/>
      <c r="AA99" s="60"/>
      <c r="AB99" s="60"/>
      <c r="AC99" s="8"/>
    </row>
    <row r="100" spans="1:29" ht="13" x14ac:dyDescent="0.25">
      <c r="A100" s="61"/>
      <c r="B100" s="60"/>
      <c r="C100" s="60"/>
      <c r="D100" s="60"/>
      <c r="E100" s="62"/>
      <c r="F100" s="62"/>
      <c r="G100" s="62"/>
      <c r="H100" s="62"/>
      <c r="I100" s="94"/>
      <c r="J100" s="93"/>
      <c r="K100" s="93"/>
      <c r="L100" s="93"/>
      <c r="M100" s="93"/>
      <c r="N100" s="93"/>
      <c r="O100" s="234" t="str">
        <f t="shared" si="6"/>
        <v xml:space="preserve"> </v>
      </c>
      <c r="P100" s="60"/>
      <c r="Q100" s="60"/>
      <c r="R100" s="60"/>
      <c r="S100" s="61"/>
      <c r="T100" s="60"/>
      <c r="U100" s="60"/>
      <c r="V100" s="60"/>
      <c r="W100" s="60"/>
      <c r="X100" s="60"/>
      <c r="Y100" s="60"/>
      <c r="Z100" s="60"/>
      <c r="AA100" s="60"/>
      <c r="AB100" s="60"/>
      <c r="AC100" s="8"/>
    </row>
    <row r="101" spans="1:29" ht="13" x14ac:dyDescent="0.25">
      <c r="A101" s="61"/>
      <c r="B101" s="60"/>
      <c r="C101" s="60"/>
      <c r="D101" s="60"/>
      <c r="E101" s="62"/>
      <c r="F101" s="62"/>
      <c r="G101" s="62"/>
      <c r="H101" s="62"/>
      <c r="I101" s="94"/>
      <c r="J101" s="94"/>
      <c r="K101" s="94"/>
      <c r="L101" s="94"/>
      <c r="M101" s="94"/>
      <c r="N101" s="94"/>
      <c r="O101" s="235" t="str">
        <f t="shared" si="6"/>
        <v xml:space="preserve"> </v>
      </c>
      <c r="P101" s="60"/>
      <c r="Q101" s="60"/>
      <c r="R101" s="60"/>
      <c r="S101" s="61"/>
      <c r="T101" s="60"/>
      <c r="U101" s="60"/>
      <c r="V101" s="60"/>
      <c r="W101" s="60"/>
      <c r="X101" s="60"/>
      <c r="Y101" s="60"/>
      <c r="Z101" s="60"/>
      <c r="AA101" s="60"/>
      <c r="AB101" s="60"/>
      <c r="AC101" s="8"/>
    </row>
    <row r="102" spans="1:29" ht="13" x14ac:dyDescent="0.25">
      <c r="A102" s="61"/>
      <c r="B102" s="60"/>
      <c r="C102" s="60"/>
      <c r="D102" s="60"/>
      <c r="E102" s="62"/>
      <c r="F102" s="62"/>
      <c r="G102" s="62"/>
      <c r="H102" s="62"/>
      <c r="I102" s="94"/>
      <c r="J102" s="93"/>
      <c r="K102" s="93"/>
      <c r="L102" s="93"/>
      <c r="M102" s="93"/>
      <c r="N102" s="93"/>
      <c r="O102" s="234" t="str">
        <f t="shared" si="6"/>
        <v xml:space="preserve"> </v>
      </c>
      <c r="P102" s="60"/>
      <c r="Q102" s="60"/>
      <c r="R102" s="60"/>
      <c r="S102" s="61"/>
      <c r="T102" s="60"/>
      <c r="U102" s="60"/>
      <c r="V102" s="60"/>
      <c r="W102" s="60"/>
      <c r="X102" s="60"/>
      <c r="Y102" s="60"/>
      <c r="Z102" s="60"/>
      <c r="AA102" s="60"/>
      <c r="AB102" s="60"/>
      <c r="AC102" s="8"/>
    </row>
    <row r="103" spans="1:29" ht="13" x14ac:dyDescent="0.25">
      <c r="A103" s="61"/>
      <c r="B103" s="60"/>
      <c r="C103" s="60"/>
      <c r="D103" s="60"/>
      <c r="E103" s="62"/>
      <c r="F103" s="62"/>
      <c r="G103" s="62"/>
      <c r="H103" s="62"/>
      <c r="I103" s="94"/>
      <c r="J103" s="94"/>
      <c r="K103" s="94"/>
      <c r="L103" s="94"/>
      <c r="M103" s="94"/>
      <c r="N103" s="94"/>
      <c r="O103" s="235" t="str">
        <f t="shared" si="6"/>
        <v xml:space="preserve"> </v>
      </c>
      <c r="P103" s="60"/>
      <c r="Q103" s="60"/>
      <c r="R103" s="60"/>
      <c r="S103" s="61"/>
      <c r="T103" s="60"/>
      <c r="U103" s="60"/>
      <c r="V103" s="60"/>
      <c r="W103" s="60"/>
      <c r="X103" s="60"/>
      <c r="Y103" s="60"/>
      <c r="Z103" s="60"/>
      <c r="AA103" s="60"/>
      <c r="AB103" s="60"/>
      <c r="AC103" s="8"/>
    </row>
    <row r="104" spans="1:29" ht="13" x14ac:dyDescent="0.25">
      <c r="A104" s="61"/>
      <c r="B104" s="60"/>
      <c r="C104" s="60"/>
      <c r="D104" s="60"/>
      <c r="E104" s="62"/>
      <c r="F104" s="62"/>
      <c r="G104" s="62"/>
      <c r="H104" s="62"/>
      <c r="I104" s="94"/>
      <c r="J104" s="93"/>
      <c r="K104" s="93"/>
      <c r="L104" s="93"/>
      <c r="M104" s="93"/>
      <c r="N104" s="93"/>
      <c r="O104" s="234" t="str">
        <f t="shared" si="6"/>
        <v xml:space="preserve"> </v>
      </c>
      <c r="P104" s="60"/>
      <c r="Q104" s="60"/>
      <c r="R104" s="60"/>
      <c r="S104" s="61"/>
      <c r="T104" s="60"/>
      <c r="U104" s="60"/>
      <c r="V104" s="60"/>
      <c r="W104" s="60"/>
      <c r="X104" s="60"/>
      <c r="Y104" s="60"/>
      <c r="Z104" s="60"/>
      <c r="AA104" s="60"/>
      <c r="AB104" s="60"/>
      <c r="AC104" s="8"/>
    </row>
    <row r="105" spans="1:29" ht="13" x14ac:dyDescent="0.25">
      <c r="A105" s="61"/>
      <c r="B105" s="60"/>
      <c r="C105" s="60"/>
      <c r="D105" s="60"/>
      <c r="E105" s="62"/>
      <c r="F105" s="62"/>
      <c r="G105" s="62"/>
      <c r="H105" s="62"/>
      <c r="I105" s="94"/>
      <c r="J105" s="94"/>
      <c r="K105" s="94"/>
      <c r="L105" s="94"/>
      <c r="M105" s="94"/>
      <c r="N105" s="94"/>
      <c r="O105" s="235" t="str">
        <f t="shared" si="6"/>
        <v xml:space="preserve"> </v>
      </c>
      <c r="P105" s="60"/>
      <c r="Q105" s="60"/>
      <c r="R105" s="60"/>
      <c r="S105" s="61"/>
      <c r="T105" s="60"/>
      <c r="U105" s="60"/>
      <c r="V105" s="60"/>
      <c r="W105" s="60"/>
      <c r="X105" s="60"/>
      <c r="Y105" s="60"/>
      <c r="Z105" s="60"/>
      <c r="AA105" s="60"/>
      <c r="AB105" s="60"/>
      <c r="AC105" s="8"/>
    </row>
    <row r="106" spans="1:29" ht="13" x14ac:dyDescent="0.25">
      <c r="A106" s="61"/>
      <c r="B106" s="60"/>
      <c r="C106" s="60"/>
      <c r="D106" s="60"/>
      <c r="E106" s="62"/>
      <c r="F106" s="62"/>
      <c r="G106" s="62"/>
      <c r="H106" s="62"/>
      <c r="I106" s="94"/>
      <c r="J106" s="93"/>
      <c r="K106" s="93"/>
      <c r="L106" s="93"/>
      <c r="M106" s="93"/>
      <c r="N106" s="93"/>
      <c r="O106" s="234" t="str">
        <f t="shared" si="6"/>
        <v xml:space="preserve"> </v>
      </c>
      <c r="P106" s="60"/>
      <c r="Q106" s="60"/>
      <c r="R106" s="60"/>
      <c r="S106" s="61"/>
      <c r="T106" s="60"/>
      <c r="U106" s="60"/>
      <c r="V106" s="60"/>
      <c r="W106" s="60"/>
      <c r="X106" s="60"/>
      <c r="Y106" s="60"/>
      <c r="Z106" s="60"/>
      <c r="AA106" s="60"/>
      <c r="AB106" s="60"/>
      <c r="AC106" s="8"/>
    </row>
    <row r="107" spans="1:29" ht="13" x14ac:dyDescent="0.25">
      <c r="A107" s="61"/>
      <c r="B107" s="60"/>
      <c r="C107" s="60"/>
      <c r="D107" s="60"/>
      <c r="E107" s="62"/>
      <c r="F107" s="62"/>
      <c r="G107" s="62"/>
      <c r="H107" s="62"/>
      <c r="I107" s="94"/>
      <c r="J107" s="94"/>
      <c r="K107" s="94"/>
      <c r="L107" s="94"/>
      <c r="M107" s="94"/>
      <c r="N107" s="94"/>
      <c r="O107" s="235" t="str">
        <f t="shared" si="6"/>
        <v xml:space="preserve"> </v>
      </c>
      <c r="P107" s="60"/>
      <c r="Q107" s="60"/>
      <c r="R107" s="60"/>
      <c r="S107" s="61"/>
      <c r="T107" s="60"/>
      <c r="U107" s="60"/>
      <c r="V107" s="60"/>
      <c r="W107" s="60"/>
      <c r="X107" s="60"/>
      <c r="Y107" s="60"/>
      <c r="Z107" s="60"/>
      <c r="AA107" s="60"/>
      <c r="AB107" s="60"/>
      <c r="AC107" s="8"/>
    </row>
    <row r="108" spans="1:29" ht="13" x14ac:dyDescent="0.25">
      <c r="A108" s="61"/>
      <c r="B108" s="60"/>
      <c r="C108" s="60"/>
      <c r="D108" s="60"/>
      <c r="E108" s="62"/>
      <c r="F108" s="62"/>
      <c r="G108" s="62"/>
      <c r="H108" s="62"/>
      <c r="I108" s="94"/>
      <c r="J108" s="93"/>
      <c r="K108" s="93"/>
      <c r="L108" s="93"/>
      <c r="M108" s="93"/>
      <c r="N108" s="93"/>
      <c r="O108" s="234" t="str">
        <f t="shared" si="6"/>
        <v xml:space="preserve"> </v>
      </c>
      <c r="P108" s="60"/>
      <c r="Q108" s="60"/>
      <c r="R108" s="60"/>
      <c r="S108" s="61"/>
      <c r="T108" s="60"/>
      <c r="U108" s="60"/>
      <c r="V108" s="60"/>
      <c r="W108" s="60"/>
      <c r="X108" s="60"/>
      <c r="Y108" s="60"/>
      <c r="Z108" s="60"/>
      <c r="AA108" s="60"/>
      <c r="AB108" s="60"/>
      <c r="AC108" s="8"/>
    </row>
    <row r="109" spans="1:29" ht="13" x14ac:dyDescent="0.25">
      <c r="A109" s="61"/>
      <c r="B109" s="60"/>
      <c r="C109" s="60"/>
      <c r="D109" s="60"/>
      <c r="E109" s="62"/>
      <c r="F109" s="62"/>
      <c r="G109" s="62"/>
      <c r="H109" s="62"/>
      <c r="I109" s="94"/>
      <c r="J109" s="94"/>
      <c r="K109" s="94"/>
      <c r="L109" s="94"/>
      <c r="M109" s="94"/>
      <c r="N109" s="94"/>
      <c r="O109" s="235" t="str">
        <f t="shared" si="6"/>
        <v xml:space="preserve"> </v>
      </c>
      <c r="P109" s="60"/>
      <c r="Q109" s="60"/>
      <c r="R109" s="60"/>
      <c r="S109" s="61"/>
      <c r="T109" s="60"/>
      <c r="U109" s="60"/>
      <c r="V109" s="60"/>
      <c r="W109" s="60"/>
      <c r="X109" s="60"/>
      <c r="Y109" s="60"/>
      <c r="Z109" s="60"/>
      <c r="AA109" s="60"/>
      <c r="AB109" s="60"/>
      <c r="AC109" s="8"/>
    </row>
    <row r="110" spans="1:29" ht="13" x14ac:dyDescent="0.25">
      <c r="A110" s="61"/>
      <c r="B110" s="60"/>
      <c r="C110" s="60"/>
      <c r="D110" s="60"/>
      <c r="E110" s="62"/>
      <c r="F110" s="62"/>
      <c r="G110" s="62"/>
      <c r="H110" s="62"/>
      <c r="I110" s="94"/>
      <c r="J110" s="93"/>
      <c r="K110" s="93"/>
      <c r="L110" s="93"/>
      <c r="M110" s="93"/>
      <c r="N110" s="93"/>
      <c r="O110" s="234" t="str">
        <f t="shared" si="6"/>
        <v xml:space="preserve"> </v>
      </c>
      <c r="P110" s="60"/>
      <c r="Q110" s="60"/>
      <c r="R110" s="60"/>
      <c r="S110" s="61"/>
      <c r="T110" s="60"/>
      <c r="U110" s="60"/>
      <c r="V110" s="60"/>
      <c r="W110" s="60"/>
      <c r="X110" s="60"/>
      <c r="Y110" s="60"/>
      <c r="Z110" s="60"/>
      <c r="AA110" s="60"/>
      <c r="AB110" s="60"/>
      <c r="AC110" s="8"/>
    </row>
    <row r="111" spans="1:29" ht="13" x14ac:dyDescent="0.25">
      <c r="A111" s="61"/>
      <c r="B111" s="60"/>
      <c r="C111" s="60"/>
      <c r="D111" s="60"/>
      <c r="E111" s="62"/>
      <c r="F111" s="62"/>
      <c r="G111" s="62"/>
      <c r="H111" s="62"/>
      <c r="I111" s="94"/>
      <c r="J111" s="94"/>
      <c r="K111" s="94"/>
      <c r="L111" s="94"/>
      <c r="M111" s="94"/>
      <c r="N111" s="94"/>
      <c r="O111" s="235" t="str">
        <f t="shared" si="6"/>
        <v xml:space="preserve"> </v>
      </c>
      <c r="P111" s="60"/>
      <c r="Q111" s="60"/>
      <c r="R111" s="60"/>
      <c r="S111" s="61"/>
      <c r="T111" s="60"/>
      <c r="U111" s="60"/>
      <c r="V111" s="60"/>
      <c r="W111" s="60"/>
      <c r="X111" s="60"/>
      <c r="Y111" s="60"/>
      <c r="Z111" s="60"/>
      <c r="AA111" s="60"/>
      <c r="AB111" s="60"/>
      <c r="AC111" s="8"/>
    </row>
    <row r="112" spans="1:29" ht="13" x14ac:dyDescent="0.25">
      <c r="A112" s="61"/>
      <c r="B112" s="60"/>
      <c r="C112" s="60"/>
      <c r="D112" s="60"/>
      <c r="E112" s="62"/>
      <c r="F112" s="62"/>
      <c r="G112" s="62"/>
      <c r="H112" s="62"/>
      <c r="I112" s="94"/>
      <c r="J112" s="93"/>
      <c r="K112" s="93"/>
      <c r="L112" s="93"/>
      <c r="M112" s="93"/>
      <c r="N112" s="93"/>
      <c r="O112" s="234" t="str">
        <f t="shared" si="6"/>
        <v xml:space="preserve"> </v>
      </c>
      <c r="P112" s="60"/>
      <c r="Q112" s="60"/>
      <c r="R112" s="60"/>
      <c r="S112" s="61"/>
      <c r="T112" s="60"/>
      <c r="U112" s="60"/>
      <c r="V112" s="60"/>
      <c r="W112" s="60"/>
      <c r="X112" s="60"/>
      <c r="Y112" s="60"/>
      <c r="Z112" s="60"/>
      <c r="AA112" s="60"/>
      <c r="AB112" s="60"/>
      <c r="AC112" s="8"/>
    </row>
    <row r="113" spans="1:29" ht="13" x14ac:dyDescent="0.25">
      <c r="A113" s="61"/>
      <c r="B113" s="60"/>
      <c r="C113" s="60"/>
      <c r="D113" s="60"/>
      <c r="E113" s="62"/>
      <c r="F113" s="62"/>
      <c r="G113" s="62"/>
      <c r="H113" s="62"/>
      <c r="I113" s="94"/>
      <c r="J113" s="94"/>
      <c r="K113" s="94"/>
      <c r="L113" s="94"/>
      <c r="M113" s="94"/>
      <c r="N113" s="94"/>
      <c r="O113" s="235" t="str">
        <f t="shared" si="6"/>
        <v xml:space="preserve"> </v>
      </c>
      <c r="P113" s="60"/>
      <c r="Q113" s="60"/>
      <c r="R113" s="60"/>
      <c r="S113" s="61"/>
      <c r="T113" s="60"/>
      <c r="U113" s="60"/>
      <c r="V113" s="60"/>
      <c r="W113" s="60"/>
      <c r="X113" s="60"/>
      <c r="Y113" s="60"/>
      <c r="Z113" s="60"/>
      <c r="AA113" s="60"/>
      <c r="AB113" s="60"/>
      <c r="AC113" s="8"/>
    </row>
    <row r="114" spans="1:29" ht="13" x14ac:dyDescent="0.25">
      <c r="A114" s="61"/>
      <c r="B114" s="60"/>
      <c r="C114" s="60"/>
      <c r="D114" s="60"/>
      <c r="E114" s="62"/>
      <c r="F114" s="62"/>
      <c r="G114" s="62"/>
      <c r="H114" s="62"/>
      <c r="I114" s="94"/>
      <c r="J114" s="93"/>
      <c r="K114" s="93"/>
      <c r="L114" s="93"/>
      <c r="M114" s="93"/>
      <c r="N114" s="93"/>
      <c r="O114" s="234" t="str">
        <f t="shared" si="6"/>
        <v xml:space="preserve"> </v>
      </c>
      <c r="P114" s="60"/>
      <c r="Q114" s="60"/>
      <c r="R114" s="60"/>
      <c r="S114" s="61"/>
      <c r="T114" s="60"/>
      <c r="U114" s="60"/>
      <c r="V114" s="60"/>
      <c r="W114" s="60"/>
      <c r="X114" s="60"/>
      <c r="Y114" s="60"/>
      <c r="Z114" s="60"/>
      <c r="AA114" s="60"/>
      <c r="AB114" s="60"/>
      <c r="AC114" s="8"/>
    </row>
    <row r="115" spans="1:29" ht="13" x14ac:dyDescent="0.25">
      <c r="A115" s="61"/>
      <c r="B115" s="60"/>
      <c r="C115" s="60"/>
      <c r="D115" s="60"/>
      <c r="E115" s="62"/>
      <c r="F115" s="62"/>
      <c r="G115" s="62"/>
      <c r="H115" s="62"/>
      <c r="I115" s="94"/>
      <c r="J115" s="94"/>
      <c r="K115" s="94"/>
      <c r="L115" s="94"/>
      <c r="M115" s="94"/>
      <c r="N115" s="94"/>
      <c r="O115" s="235" t="str">
        <f t="shared" si="6"/>
        <v xml:space="preserve"> </v>
      </c>
      <c r="P115" s="60"/>
      <c r="Q115" s="60"/>
      <c r="R115" s="60"/>
      <c r="S115" s="61"/>
      <c r="T115" s="60"/>
      <c r="U115" s="60"/>
      <c r="V115" s="60"/>
      <c r="W115" s="60"/>
      <c r="X115" s="60"/>
      <c r="Y115" s="60"/>
      <c r="Z115" s="60"/>
      <c r="AA115" s="60"/>
      <c r="AB115" s="60"/>
      <c r="AC115" s="8"/>
    </row>
    <row r="116" spans="1:29" ht="13" x14ac:dyDescent="0.25">
      <c r="A116" s="61"/>
      <c r="B116" s="60"/>
      <c r="C116" s="60"/>
      <c r="D116" s="60"/>
      <c r="E116" s="62"/>
      <c r="F116" s="62"/>
      <c r="G116" s="62"/>
      <c r="H116" s="62"/>
      <c r="I116" s="94"/>
      <c r="J116" s="93"/>
      <c r="K116" s="93"/>
      <c r="L116" s="93"/>
      <c r="M116" s="93"/>
      <c r="N116" s="93"/>
      <c r="O116" s="234" t="str">
        <f t="shared" si="6"/>
        <v xml:space="preserve"> </v>
      </c>
      <c r="P116" s="60"/>
      <c r="Q116" s="60"/>
      <c r="R116" s="60"/>
      <c r="S116" s="61"/>
      <c r="T116" s="60"/>
      <c r="U116" s="60"/>
      <c r="V116" s="60"/>
      <c r="W116" s="60"/>
      <c r="X116" s="60"/>
      <c r="Y116" s="60"/>
      <c r="Z116" s="60"/>
      <c r="AA116" s="60"/>
      <c r="AB116" s="60"/>
      <c r="AC116" s="8"/>
    </row>
    <row r="117" spans="1:29" ht="13" x14ac:dyDescent="0.25">
      <c r="A117" s="61"/>
      <c r="B117" s="60"/>
      <c r="C117" s="60"/>
      <c r="D117" s="60"/>
      <c r="E117" s="62"/>
      <c r="F117" s="62"/>
      <c r="G117" s="62"/>
      <c r="H117" s="62"/>
      <c r="I117" s="94"/>
      <c r="J117" s="94"/>
      <c r="K117" s="94"/>
      <c r="L117" s="94"/>
      <c r="M117" s="94"/>
      <c r="N117" s="94"/>
      <c r="O117" s="235" t="str">
        <f t="shared" si="6"/>
        <v xml:space="preserve"> </v>
      </c>
      <c r="P117" s="60"/>
      <c r="Q117" s="60"/>
      <c r="R117" s="60"/>
      <c r="S117" s="61"/>
      <c r="T117" s="60"/>
      <c r="U117" s="60"/>
      <c r="V117" s="60"/>
      <c r="W117" s="60"/>
      <c r="X117" s="60"/>
      <c r="Y117" s="60"/>
      <c r="Z117" s="60"/>
      <c r="AA117" s="60"/>
      <c r="AB117" s="60"/>
      <c r="AC117" s="8"/>
    </row>
    <row r="118" spans="1:29" ht="13" x14ac:dyDescent="0.25">
      <c r="A118" s="61"/>
      <c r="B118" s="60"/>
      <c r="C118" s="60"/>
      <c r="D118" s="60"/>
      <c r="E118" s="62"/>
      <c r="F118" s="62"/>
      <c r="G118" s="62"/>
      <c r="H118" s="62"/>
      <c r="I118" s="94"/>
      <c r="J118" s="93"/>
      <c r="K118" s="93"/>
      <c r="L118" s="93"/>
      <c r="M118" s="93"/>
      <c r="N118" s="93"/>
      <c r="O118" s="234" t="str">
        <f t="shared" si="6"/>
        <v xml:space="preserve"> </v>
      </c>
      <c r="P118" s="60"/>
      <c r="Q118" s="60"/>
      <c r="R118" s="60"/>
      <c r="S118" s="61"/>
      <c r="T118" s="60"/>
      <c r="U118" s="60"/>
      <c r="V118" s="60"/>
      <c r="W118" s="60"/>
      <c r="X118" s="60"/>
      <c r="Y118" s="60"/>
      <c r="Z118" s="60"/>
      <c r="AA118" s="60"/>
      <c r="AB118" s="60"/>
      <c r="AC118" s="8"/>
    </row>
    <row r="119" spans="1:29" ht="13" x14ac:dyDescent="0.25">
      <c r="A119" s="61"/>
      <c r="B119" s="60"/>
      <c r="C119" s="60"/>
      <c r="D119" s="60"/>
      <c r="E119" s="62"/>
      <c r="F119" s="62"/>
      <c r="G119" s="62"/>
      <c r="H119" s="62"/>
      <c r="I119" s="94"/>
      <c r="J119" s="94"/>
      <c r="K119" s="94"/>
      <c r="L119" s="94"/>
      <c r="M119" s="94"/>
      <c r="N119" s="94"/>
      <c r="O119" s="235" t="str">
        <f t="shared" si="6"/>
        <v xml:space="preserve"> </v>
      </c>
      <c r="P119" s="60"/>
      <c r="Q119" s="60"/>
      <c r="R119" s="60"/>
      <c r="S119" s="61"/>
      <c r="T119" s="60"/>
      <c r="U119" s="60"/>
      <c r="V119" s="60"/>
      <c r="W119" s="60"/>
      <c r="X119" s="60"/>
      <c r="Y119" s="60"/>
      <c r="Z119" s="60"/>
      <c r="AA119" s="60"/>
      <c r="AB119" s="60"/>
      <c r="AC119" s="8"/>
    </row>
    <row r="120" spans="1:29" ht="13" x14ac:dyDescent="0.25">
      <c r="A120" s="61"/>
      <c r="B120" s="60"/>
      <c r="C120" s="60"/>
      <c r="D120" s="60"/>
      <c r="E120" s="62"/>
      <c r="F120" s="62"/>
      <c r="G120" s="62"/>
      <c r="H120" s="62"/>
      <c r="I120" s="94"/>
      <c r="J120" s="93"/>
      <c r="K120" s="93"/>
      <c r="L120" s="93"/>
      <c r="M120" s="93"/>
      <c r="N120" s="93"/>
      <c r="O120" s="234" t="str">
        <f t="shared" si="6"/>
        <v xml:space="preserve"> </v>
      </c>
      <c r="P120" s="60"/>
      <c r="Q120" s="60"/>
      <c r="R120" s="60"/>
      <c r="S120" s="61"/>
      <c r="T120" s="60"/>
      <c r="U120" s="60"/>
      <c r="V120" s="60"/>
      <c r="W120" s="60"/>
      <c r="X120" s="60"/>
      <c r="Y120" s="60"/>
      <c r="Z120" s="60"/>
      <c r="AA120" s="60"/>
      <c r="AB120" s="60"/>
      <c r="AC120" s="8"/>
    </row>
    <row r="121" spans="1:29" ht="13" x14ac:dyDescent="0.25">
      <c r="A121" s="61"/>
      <c r="B121" s="60"/>
      <c r="C121" s="60"/>
      <c r="D121" s="60"/>
      <c r="E121" s="62"/>
      <c r="F121" s="62"/>
      <c r="G121" s="62"/>
      <c r="H121" s="62"/>
      <c r="I121" s="94"/>
      <c r="J121" s="94"/>
      <c r="K121" s="94"/>
      <c r="L121" s="94"/>
      <c r="M121" s="94"/>
      <c r="N121" s="94"/>
      <c r="O121" s="235" t="str">
        <f t="shared" si="6"/>
        <v xml:space="preserve"> </v>
      </c>
      <c r="P121" s="60"/>
      <c r="Q121" s="60"/>
      <c r="R121" s="60"/>
      <c r="S121" s="61"/>
      <c r="T121" s="60"/>
      <c r="U121" s="60"/>
      <c r="V121" s="60"/>
      <c r="W121" s="60"/>
      <c r="X121" s="60"/>
      <c r="Y121" s="60"/>
      <c r="Z121" s="60"/>
      <c r="AA121" s="60"/>
      <c r="AB121" s="60"/>
      <c r="AC121" s="8"/>
    </row>
    <row r="122" spans="1:29" ht="13" x14ac:dyDescent="0.25">
      <c r="A122" s="61"/>
      <c r="B122" s="60"/>
      <c r="C122" s="60"/>
      <c r="D122" s="60"/>
      <c r="E122" s="62"/>
      <c r="F122" s="62"/>
      <c r="G122" s="62"/>
      <c r="H122" s="62"/>
      <c r="I122" s="94"/>
      <c r="J122" s="93"/>
      <c r="K122" s="93"/>
      <c r="L122" s="93"/>
      <c r="M122" s="93"/>
      <c r="N122" s="93"/>
      <c r="O122" s="234" t="str">
        <f t="shared" si="6"/>
        <v xml:space="preserve"> </v>
      </c>
      <c r="P122" s="60"/>
      <c r="Q122" s="60"/>
      <c r="R122" s="60"/>
      <c r="S122" s="61"/>
      <c r="T122" s="60"/>
      <c r="U122" s="60"/>
      <c r="V122" s="60"/>
      <c r="W122" s="60"/>
      <c r="X122" s="60"/>
      <c r="Y122" s="60"/>
      <c r="Z122" s="60"/>
      <c r="AA122" s="60"/>
      <c r="AB122" s="60"/>
      <c r="AC122" s="8"/>
    </row>
    <row r="123" spans="1:29" ht="13" x14ac:dyDescent="0.25">
      <c r="A123" s="61"/>
      <c r="B123" s="60"/>
      <c r="C123" s="60"/>
      <c r="D123" s="60"/>
      <c r="E123" s="62"/>
      <c r="F123" s="62"/>
      <c r="G123" s="62"/>
      <c r="H123" s="62"/>
      <c r="I123" s="94"/>
      <c r="J123" s="94"/>
      <c r="K123" s="94"/>
      <c r="L123" s="94"/>
      <c r="M123" s="94"/>
      <c r="N123" s="94"/>
      <c r="O123" s="235" t="str">
        <f t="shared" si="6"/>
        <v xml:space="preserve"> </v>
      </c>
      <c r="P123" s="60"/>
      <c r="Q123" s="60"/>
      <c r="R123" s="60"/>
      <c r="S123" s="61"/>
      <c r="T123" s="60"/>
      <c r="U123" s="60"/>
      <c r="V123" s="60"/>
      <c r="W123" s="60"/>
      <c r="X123" s="60"/>
      <c r="Y123" s="60"/>
      <c r="Z123" s="60"/>
      <c r="AA123" s="60"/>
      <c r="AB123" s="60"/>
      <c r="AC123" s="8"/>
    </row>
    <row r="124" spans="1:29" ht="13" x14ac:dyDescent="0.25">
      <c r="A124" s="61"/>
      <c r="B124" s="60"/>
      <c r="C124" s="60"/>
      <c r="D124" s="60"/>
      <c r="E124" s="62"/>
      <c r="F124" s="62"/>
      <c r="G124" s="62"/>
      <c r="H124" s="62"/>
      <c r="I124" s="94"/>
      <c r="J124" s="93"/>
      <c r="K124" s="93"/>
      <c r="L124" s="93"/>
      <c r="M124" s="93"/>
      <c r="N124" s="93"/>
      <c r="O124" s="234" t="str">
        <f t="shared" si="6"/>
        <v xml:space="preserve"> </v>
      </c>
      <c r="P124" s="60"/>
      <c r="Q124" s="60"/>
      <c r="R124" s="60"/>
      <c r="S124" s="61"/>
      <c r="T124" s="60"/>
      <c r="U124" s="60"/>
      <c r="V124" s="60"/>
      <c r="W124" s="60"/>
      <c r="X124" s="60"/>
      <c r="Y124" s="60"/>
      <c r="Z124" s="60"/>
      <c r="AA124" s="60"/>
      <c r="AB124" s="60"/>
      <c r="AC124" s="8"/>
    </row>
    <row r="125" spans="1:29" ht="13" x14ac:dyDescent="0.25">
      <c r="A125" s="61"/>
      <c r="B125" s="60"/>
      <c r="C125" s="60"/>
      <c r="D125" s="60"/>
      <c r="E125" s="62"/>
      <c r="F125" s="62"/>
      <c r="G125" s="62"/>
      <c r="H125" s="62"/>
      <c r="I125" s="94"/>
      <c r="J125" s="94"/>
      <c r="K125" s="94"/>
      <c r="L125" s="94"/>
      <c r="M125" s="94"/>
      <c r="N125" s="94"/>
      <c r="O125" s="235" t="str">
        <f t="shared" si="6"/>
        <v xml:space="preserve"> </v>
      </c>
      <c r="P125" s="60"/>
      <c r="Q125" s="60"/>
      <c r="R125" s="60"/>
      <c r="S125" s="61"/>
      <c r="T125" s="60"/>
      <c r="U125" s="60"/>
      <c r="V125" s="60"/>
      <c r="W125" s="60"/>
      <c r="X125" s="60"/>
      <c r="Y125" s="60"/>
      <c r="Z125" s="60"/>
      <c r="AA125" s="60"/>
      <c r="AB125" s="60"/>
      <c r="AC125" s="8"/>
    </row>
    <row r="126" spans="1:29" ht="13" x14ac:dyDescent="0.25">
      <c r="A126" s="61"/>
      <c r="B126" s="60"/>
      <c r="C126" s="60"/>
      <c r="D126" s="60"/>
      <c r="E126" s="62"/>
      <c r="F126" s="62"/>
      <c r="G126" s="62"/>
      <c r="H126" s="62"/>
      <c r="I126" s="94"/>
      <c r="J126" s="93"/>
      <c r="K126" s="93"/>
      <c r="L126" s="93"/>
      <c r="M126" s="93"/>
      <c r="N126" s="93"/>
      <c r="O126" s="234" t="str">
        <f t="shared" si="6"/>
        <v xml:space="preserve"> </v>
      </c>
      <c r="P126" s="60"/>
      <c r="Q126" s="60"/>
      <c r="R126" s="60"/>
      <c r="S126" s="61"/>
      <c r="T126" s="60"/>
      <c r="U126" s="60"/>
      <c r="V126" s="60"/>
      <c r="W126" s="60"/>
      <c r="X126" s="60"/>
      <c r="Y126" s="60"/>
      <c r="Z126" s="60"/>
      <c r="AA126" s="60"/>
      <c r="AB126" s="60"/>
      <c r="AC126" s="8"/>
    </row>
    <row r="127" spans="1:29" ht="13" x14ac:dyDescent="0.25">
      <c r="A127" s="61"/>
      <c r="B127" s="60"/>
      <c r="C127" s="60"/>
      <c r="D127" s="60"/>
      <c r="E127" s="62"/>
      <c r="F127" s="62"/>
      <c r="G127" s="62"/>
      <c r="H127" s="62"/>
      <c r="I127" s="94"/>
      <c r="J127" s="94"/>
      <c r="K127" s="94"/>
      <c r="L127" s="94"/>
      <c r="M127" s="94"/>
      <c r="N127" s="94"/>
      <c r="O127" s="235" t="str">
        <f t="shared" si="6"/>
        <v xml:space="preserve"> </v>
      </c>
      <c r="P127" s="60"/>
      <c r="Q127" s="60"/>
      <c r="R127" s="60"/>
      <c r="S127" s="61"/>
      <c r="T127" s="60"/>
      <c r="U127" s="60"/>
      <c r="V127" s="60"/>
      <c r="W127" s="60"/>
      <c r="X127" s="60"/>
      <c r="Y127" s="60"/>
      <c r="Z127" s="60"/>
      <c r="AA127" s="60"/>
      <c r="AB127" s="60"/>
      <c r="AC127" s="8"/>
    </row>
    <row r="128" spans="1:29" ht="13" x14ac:dyDescent="0.25">
      <c r="A128" s="61"/>
      <c r="B128" s="60"/>
      <c r="C128" s="60"/>
      <c r="D128" s="60"/>
      <c r="E128" s="62"/>
      <c r="F128" s="62"/>
      <c r="G128" s="62"/>
      <c r="H128" s="62"/>
      <c r="I128" s="94"/>
      <c r="J128" s="93"/>
      <c r="K128" s="93"/>
      <c r="L128" s="93"/>
      <c r="M128" s="93"/>
      <c r="N128" s="93"/>
      <c r="O128" s="234" t="str">
        <f t="shared" si="6"/>
        <v xml:space="preserve"> </v>
      </c>
      <c r="P128" s="60"/>
      <c r="Q128" s="60"/>
      <c r="R128" s="60"/>
      <c r="S128" s="61"/>
      <c r="T128" s="60"/>
      <c r="U128" s="60"/>
      <c r="V128" s="60"/>
      <c r="W128" s="60"/>
      <c r="X128" s="60"/>
      <c r="Y128" s="60"/>
      <c r="Z128" s="60"/>
      <c r="AA128" s="60"/>
      <c r="AB128" s="60"/>
      <c r="AC128" s="8"/>
    </row>
    <row r="129" spans="1:29" ht="13" x14ac:dyDescent="0.25">
      <c r="A129" s="61"/>
      <c r="B129" s="60"/>
      <c r="C129" s="60"/>
      <c r="D129" s="60"/>
      <c r="E129" s="62"/>
      <c r="F129" s="62"/>
      <c r="G129" s="62"/>
      <c r="H129" s="62"/>
      <c r="I129" s="94"/>
      <c r="J129" s="94"/>
      <c r="K129" s="94"/>
      <c r="L129" s="94"/>
      <c r="M129" s="94"/>
      <c r="N129" s="94"/>
      <c r="O129" s="235" t="str">
        <f t="shared" si="6"/>
        <v xml:space="preserve"> </v>
      </c>
      <c r="P129" s="60"/>
      <c r="Q129" s="60"/>
      <c r="R129" s="60"/>
      <c r="S129" s="61"/>
      <c r="T129" s="60"/>
      <c r="U129" s="60"/>
      <c r="V129" s="60"/>
      <c r="W129" s="60"/>
      <c r="X129" s="60"/>
      <c r="Y129" s="60"/>
      <c r="Z129" s="60"/>
      <c r="AA129" s="60"/>
      <c r="AB129" s="60"/>
      <c r="AC129" s="8"/>
    </row>
    <row r="130" spans="1:29" ht="13" x14ac:dyDescent="0.25">
      <c r="A130" s="61"/>
      <c r="B130" s="60"/>
      <c r="C130" s="60"/>
      <c r="D130" s="60"/>
      <c r="E130" s="62"/>
      <c r="F130" s="62"/>
      <c r="G130" s="62"/>
      <c r="H130" s="62"/>
      <c r="I130" s="94"/>
      <c r="J130" s="93"/>
      <c r="K130" s="93"/>
      <c r="L130" s="93"/>
      <c r="M130" s="93"/>
      <c r="N130" s="93"/>
      <c r="O130" s="234" t="str">
        <f t="shared" si="6"/>
        <v xml:space="preserve"> </v>
      </c>
      <c r="P130" s="60"/>
      <c r="Q130" s="60"/>
      <c r="R130" s="60"/>
      <c r="S130" s="61"/>
      <c r="T130" s="60"/>
      <c r="U130" s="60"/>
      <c r="V130" s="60"/>
      <c r="W130" s="60"/>
      <c r="X130" s="60"/>
      <c r="Y130" s="60"/>
      <c r="Z130" s="60"/>
      <c r="AA130" s="60"/>
      <c r="AB130" s="60"/>
      <c r="AC130" s="8"/>
    </row>
    <row r="131" spans="1:29" ht="13" x14ac:dyDescent="0.25">
      <c r="A131" s="61"/>
      <c r="B131" s="60"/>
      <c r="C131" s="60"/>
      <c r="D131" s="60"/>
      <c r="E131" s="62"/>
      <c r="F131" s="62"/>
      <c r="G131" s="62"/>
      <c r="H131" s="62"/>
      <c r="I131" s="94"/>
      <c r="J131" s="94"/>
      <c r="K131" s="94"/>
      <c r="L131" s="94"/>
      <c r="M131" s="94"/>
      <c r="N131" s="94"/>
      <c r="O131" s="235" t="str">
        <f t="shared" si="6"/>
        <v xml:space="preserve"> </v>
      </c>
      <c r="P131" s="60"/>
      <c r="Q131" s="60"/>
      <c r="R131" s="60"/>
      <c r="S131" s="61"/>
      <c r="T131" s="60"/>
      <c r="U131" s="60"/>
      <c r="V131" s="60"/>
      <c r="W131" s="60"/>
      <c r="X131" s="60"/>
      <c r="Y131" s="60"/>
      <c r="Z131" s="60"/>
      <c r="AA131" s="60"/>
      <c r="AB131" s="60"/>
      <c r="AC131" s="8"/>
    </row>
    <row r="132" spans="1:29" ht="13" x14ac:dyDescent="0.25">
      <c r="A132" s="61"/>
      <c r="B132" s="60"/>
      <c r="C132" s="60"/>
      <c r="D132" s="60"/>
      <c r="E132" s="62"/>
      <c r="F132" s="62"/>
      <c r="G132" s="62"/>
      <c r="H132" s="62"/>
      <c r="I132" s="94"/>
      <c r="J132" s="93"/>
      <c r="K132" s="93"/>
      <c r="L132" s="93"/>
      <c r="M132" s="93"/>
      <c r="N132" s="93"/>
      <c r="O132" s="234" t="str">
        <f t="shared" ref="O132:O147" si="7">IF($E132&lt;=0, " ",IF($E132&lt;=0.25, "A",IF($E132&lt;10, "B",IF($E132&lt;100, "C", IF($E132&lt;300, "D",IF($E132&lt;1000, "E",IF($E132&lt;5000,"F",IF($E132&gt;=5000, "G"))))))))</f>
        <v xml:space="preserve"> </v>
      </c>
      <c r="P132" s="60"/>
      <c r="Q132" s="60"/>
      <c r="R132" s="60"/>
      <c r="S132" s="61"/>
      <c r="T132" s="60"/>
      <c r="U132" s="60"/>
      <c r="V132" s="60"/>
      <c r="W132" s="60"/>
      <c r="X132" s="60"/>
      <c r="Y132" s="60"/>
      <c r="Z132" s="60"/>
      <c r="AA132" s="60"/>
      <c r="AB132" s="60"/>
      <c r="AC132" s="8"/>
    </row>
    <row r="133" spans="1:29" ht="13" x14ac:dyDescent="0.25">
      <c r="A133" s="61"/>
      <c r="B133" s="60"/>
      <c r="C133" s="60"/>
      <c r="D133" s="60"/>
      <c r="E133" s="62"/>
      <c r="F133" s="62"/>
      <c r="G133" s="62"/>
      <c r="H133" s="62"/>
      <c r="I133" s="94"/>
      <c r="J133" s="94"/>
      <c r="K133" s="94"/>
      <c r="L133" s="94"/>
      <c r="M133" s="94"/>
      <c r="N133" s="94"/>
      <c r="O133" s="235" t="str">
        <f t="shared" si="7"/>
        <v xml:space="preserve"> </v>
      </c>
      <c r="P133" s="60"/>
      <c r="Q133" s="60"/>
      <c r="R133" s="60"/>
      <c r="S133" s="61"/>
      <c r="T133" s="60"/>
      <c r="U133" s="60"/>
      <c r="V133" s="60"/>
      <c r="W133" s="60"/>
      <c r="X133" s="60"/>
      <c r="Y133" s="60"/>
      <c r="Z133" s="60"/>
      <c r="AA133" s="60"/>
      <c r="AB133" s="60"/>
      <c r="AC133" s="8"/>
    </row>
    <row r="134" spans="1:29" ht="13" x14ac:dyDescent="0.25">
      <c r="A134" s="61"/>
      <c r="B134" s="60"/>
      <c r="C134" s="60"/>
      <c r="D134" s="60"/>
      <c r="E134" s="62"/>
      <c r="F134" s="62"/>
      <c r="G134" s="62"/>
      <c r="H134" s="62"/>
      <c r="I134" s="94"/>
      <c r="J134" s="93"/>
      <c r="K134" s="93"/>
      <c r="L134" s="93"/>
      <c r="M134" s="93"/>
      <c r="N134" s="93"/>
      <c r="O134" s="234" t="str">
        <f t="shared" si="7"/>
        <v xml:space="preserve"> </v>
      </c>
      <c r="P134" s="60"/>
      <c r="Q134" s="60"/>
      <c r="R134" s="60"/>
      <c r="S134" s="61"/>
      <c r="T134" s="60"/>
      <c r="U134" s="60"/>
      <c r="V134" s="60"/>
      <c r="W134" s="60"/>
      <c r="X134" s="60"/>
      <c r="Y134" s="60"/>
      <c r="Z134" s="60"/>
      <c r="AA134" s="60"/>
      <c r="AB134" s="60"/>
      <c r="AC134" s="8"/>
    </row>
    <row r="135" spans="1:29" ht="13" x14ac:dyDescent="0.25">
      <c r="A135" s="61"/>
      <c r="B135" s="60"/>
      <c r="C135" s="60"/>
      <c r="D135" s="60"/>
      <c r="E135" s="62"/>
      <c r="F135" s="62"/>
      <c r="G135" s="62"/>
      <c r="H135" s="62"/>
      <c r="I135" s="94"/>
      <c r="J135" s="94"/>
      <c r="K135" s="94"/>
      <c r="L135" s="94"/>
      <c r="M135" s="94"/>
      <c r="N135" s="94"/>
      <c r="O135" s="235" t="str">
        <f t="shared" si="7"/>
        <v xml:space="preserve"> </v>
      </c>
      <c r="P135" s="60"/>
      <c r="Q135" s="60"/>
      <c r="R135" s="60"/>
      <c r="S135" s="61"/>
      <c r="T135" s="60"/>
      <c r="U135" s="60"/>
      <c r="V135" s="60"/>
      <c r="W135" s="60"/>
      <c r="X135" s="60"/>
      <c r="Y135" s="60"/>
      <c r="Z135" s="60"/>
      <c r="AA135" s="60"/>
      <c r="AB135" s="60"/>
      <c r="AC135" s="8"/>
    </row>
    <row r="136" spans="1:29" ht="13" x14ac:dyDescent="0.25">
      <c r="A136" s="61"/>
      <c r="B136" s="60"/>
      <c r="C136" s="60"/>
      <c r="D136" s="60"/>
      <c r="E136" s="62"/>
      <c r="F136" s="62"/>
      <c r="G136" s="62"/>
      <c r="H136" s="62"/>
      <c r="I136" s="94"/>
      <c r="J136" s="93"/>
      <c r="K136" s="93"/>
      <c r="L136" s="93"/>
      <c r="M136" s="93"/>
      <c r="N136" s="93"/>
      <c r="O136" s="234" t="str">
        <f t="shared" si="7"/>
        <v xml:space="preserve"> </v>
      </c>
      <c r="P136" s="60"/>
      <c r="Q136" s="60"/>
      <c r="R136" s="60"/>
      <c r="S136" s="61"/>
      <c r="T136" s="60"/>
      <c r="U136" s="60"/>
      <c r="V136" s="60"/>
      <c r="W136" s="60"/>
      <c r="X136" s="60"/>
      <c r="Y136" s="60"/>
      <c r="Z136" s="60"/>
      <c r="AA136" s="60"/>
      <c r="AB136" s="60"/>
      <c r="AC136" s="8"/>
    </row>
    <row r="137" spans="1:29" ht="13" x14ac:dyDescent="0.25">
      <c r="A137" s="61"/>
      <c r="B137" s="60"/>
      <c r="C137" s="60"/>
      <c r="D137" s="60"/>
      <c r="E137" s="62"/>
      <c r="F137" s="62"/>
      <c r="G137" s="62"/>
      <c r="H137" s="62"/>
      <c r="I137" s="94"/>
      <c r="J137" s="94"/>
      <c r="K137" s="94"/>
      <c r="L137" s="94"/>
      <c r="M137" s="94"/>
      <c r="N137" s="94"/>
      <c r="O137" s="235" t="str">
        <f t="shared" si="7"/>
        <v xml:space="preserve"> </v>
      </c>
      <c r="P137" s="60"/>
      <c r="Q137" s="60"/>
      <c r="R137" s="60"/>
      <c r="S137" s="61"/>
      <c r="T137" s="60"/>
      <c r="U137" s="60"/>
      <c r="V137" s="60"/>
      <c r="W137" s="60"/>
      <c r="X137" s="60"/>
      <c r="Y137" s="60"/>
      <c r="Z137" s="60"/>
      <c r="AA137" s="60"/>
      <c r="AB137" s="60"/>
      <c r="AC137" s="8"/>
    </row>
    <row r="138" spans="1:29" ht="13" x14ac:dyDescent="0.25">
      <c r="A138" s="61"/>
      <c r="B138" s="60"/>
      <c r="C138" s="60"/>
      <c r="D138" s="60"/>
      <c r="E138" s="62"/>
      <c r="F138" s="62"/>
      <c r="G138" s="62"/>
      <c r="H138" s="62"/>
      <c r="I138" s="94"/>
      <c r="J138" s="93"/>
      <c r="K138" s="93"/>
      <c r="L138" s="93"/>
      <c r="M138" s="93"/>
      <c r="N138" s="93"/>
      <c r="O138" s="234" t="str">
        <f t="shared" si="7"/>
        <v xml:space="preserve"> </v>
      </c>
      <c r="P138" s="60"/>
      <c r="Q138" s="60"/>
      <c r="R138" s="60"/>
      <c r="S138" s="61"/>
      <c r="T138" s="60"/>
      <c r="U138" s="60"/>
      <c r="V138" s="60"/>
      <c r="W138" s="60"/>
      <c r="X138" s="60"/>
      <c r="Y138" s="60"/>
      <c r="Z138" s="60"/>
      <c r="AA138" s="60"/>
      <c r="AB138" s="60"/>
      <c r="AC138" s="8"/>
    </row>
    <row r="139" spans="1:29" ht="13" x14ac:dyDescent="0.25">
      <c r="A139" s="61"/>
      <c r="B139" s="60"/>
      <c r="C139" s="60"/>
      <c r="D139" s="60"/>
      <c r="E139" s="62"/>
      <c r="F139" s="62"/>
      <c r="G139" s="62"/>
      <c r="H139" s="62"/>
      <c r="I139" s="94"/>
      <c r="J139" s="94"/>
      <c r="K139" s="94"/>
      <c r="L139" s="94"/>
      <c r="M139" s="94"/>
      <c r="N139" s="94"/>
      <c r="O139" s="235" t="str">
        <f t="shared" si="7"/>
        <v xml:space="preserve"> </v>
      </c>
      <c r="P139" s="60"/>
      <c r="Q139" s="60"/>
      <c r="R139" s="60"/>
      <c r="S139" s="61"/>
      <c r="T139" s="60"/>
      <c r="U139" s="60"/>
      <c r="V139" s="60"/>
      <c r="W139" s="60"/>
      <c r="X139" s="60"/>
      <c r="Y139" s="60"/>
      <c r="Z139" s="60"/>
      <c r="AA139" s="60"/>
      <c r="AB139" s="60"/>
      <c r="AC139" s="8"/>
    </row>
    <row r="140" spans="1:29" ht="13" x14ac:dyDescent="0.25">
      <c r="A140" s="61"/>
      <c r="B140" s="60"/>
      <c r="C140" s="60"/>
      <c r="D140" s="60"/>
      <c r="E140" s="62"/>
      <c r="F140" s="62"/>
      <c r="G140" s="62"/>
      <c r="H140" s="62"/>
      <c r="I140" s="94"/>
      <c r="J140" s="93"/>
      <c r="K140" s="93"/>
      <c r="L140" s="93"/>
      <c r="M140" s="93"/>
      <c r="N140" s="93"/>
      <c r="O140" s="234" t="str">
        <f t="shared" si="7"/>
        <v xml:space="preserve"> </v>
      </c>
      <c r="P140" s="60"/>
      <c r="Q140" s="60"/>
      <c r="R140" s="60"/>
      <c r="S140" s="61"/>
      <c r="T140" s="60"/>
      <c r="U140" s="60"/>
      <c r="V140" s="60"/>
      <c r="W140" s="60"/>
      <c r="X140" s="60"/>
      <c r="Y140" s="60"/>
      <c r="Z140" s="60"/>
      <c r="AA140" s="60"/>
      <c r="AB140" s="60"/>
      <c r="AC140" s="8"/>
    </row>
    <row r="141" spans="1:29" ht="13" x14ac:dyDescent="0.25">
      <c r="A141" s="61"/>
      <c r="B141" s="60"/>
      <c r="C141" s="60"/>
      <c r="D141" s="60"/>
      <c r="E141" s="62"/>
      <c r="F141" s="62"/>
      <c r="G141" s="62"/>
      <c r="H141" s="62"/>
      <c r="I141" s="94"/>
      <c r="J141" s="94"/>
      <c r="K141" s="94"/>
      <c r="L141" s="94"/>
      <c r="M141" s="94"/>
      <c r="N141" s="94"/>
      <c r="O141" s="235" t="str">
        <f t="shared" si="7"/>
        <v xml:space="preserve"> </v>
      </c>
      <c r="P141" s="60"/>
      <c r="Q141" s="60"/>
      <c r="R141" s="60"/>
      <c r="S141" s="61"/>
      <c r="T141" s="60"/>
      <c r="U141" s="60"/>
      <c r="V141" s="60"/>
      <c r="W141" s="60"/>
      <c r="X141" s="60"/>
      <c r="Y141" s="60"/>
      <c r="Z141" s="60"/>
      <c r="AA141" s="60"/>
      <c r="AB141" s="60"/>
      <c r="AC141" s="8"/>
    </row>
    <row r="142" spans="1:29" ht="13" x14ac:dyDescent="0.25">
      <c r="A142" s="61"/>
      <c r="B142" s="60"/>
      <c r="C142" s="60"/>
      <c r="D142" s="60"/>
      <c r="E142" s="62"/>
      <c r="F142" s="62"/>
      <c r="G142" s="62"/>
      <c r="H142" s="62"/>
      <c r="I142" s="94"/>
      <c r="J142" s="93"/>
      <c r="K142" s="93"/>
      <c r="L142" s="93"/>
      <c r="M142" s="93"/>
      <c r="N142" s="93"/>
      <c r="O142" s="234" t="str">
        <f t="shared" si="7"/>
        <v xml:space="preserve"> </v>
      </c>
      <c r="P142" s="60"/>
      <c r="Q142" s="60"/>
      <c r="R142" s="60"/>
      <c r="S142" s="61"/>
      <c r="T142" s="60"/>
      <c r="U142" s="60"/>
      <c r="V142" s="60"/>
      <c r="W142" s="60"/>
      <c r="X142" s="60"/>
      <c r="Y142" s="60"/>
      <c r="Z142" s="60"/>
      <c r="AA142" s="60"/>
      <c r="AB142" s="60"/>
      <c r="AC142" s="8"/>
    </row>
    <row r="143" spans="1:29" ht="13" x14ac:dyDescent="0.25">
      <c r="A143" s="61"/>
      <c r="B143" s="60"/>
      <c r="C143" s="60"/>
      <c r="D143" s="60"/>
      <c r="E143" s="62"/>
      <c r="F143" s="62"/>
      <c r="G143" s="62"/>
      <c r="H143" s="62"/>
      <c r="I143" s="94"/>
      <c r="J143" s="94"/>
      <c r="K143" s="94"/>
      <c r="L143" s="94"/>
      <c r="M143" s="94"/>
      <c r="N143" s="94"/>
      <c r="O143" s="235" t="str">
        <f t="shared" si="7"/>
        <v xml:space="preserve"> </v>
      </c>
      <c r="P143" s="60"/>
      <c r="Q143" s="60"/>
      <c r="R143" s="60"/>
      <c r="S143" s="61"/>
      <c r="T143" s="60"/>
      <c r="U143" s="60"/>
      <c r="V143" s="60"/>
      <c r="W143" s="60"/>
      <c r="X143" s="60"/>
      <c r="Y143" s="60"/>
      <c r="Z143" s="60"/>
      <c r="AA143" s="60"/>
      <c r="AB143" s="60"/>
      <c r="AC143" s="8"/>
    </row>
    <row r="144" spans="1:29" ht="13" x14ac:dyDescent="0.25">
      <c r="A144" s="61"/>
      <c r="B144" s="60"/>
      <c r="C144" s="60"/>
      <c r="D144" s="60"/>
      <c r="E144" s="62"/>
      <c r="F144" s="62"/>
      <c r="G144" s="62"/>
      <c r="H144" s="62"/>
      <c r="I144" s="94"/>
      <c r="J144" s="93"/>
      <c r="K144" s="93"/>
      <c r="L144" s="93"/>
      <c r="M144" s="93"/>
      <c r="N144" s="93"/>
      <c r="O144" s="234" t="str">
        <f t="shared" si="7"/>
        <v xml:space="preserve"> </v>
      </c>
      <c r="P144" s="60"/>
      <c r="Q144" s="60"/>
      <c r="R144" s="60"/>
      <c r="S144" s="61"/>
      <c r="T144" s="60"/>
      <c r="U144" s="60"/>
      <c r="V144" s="60"/>
      <c r="W144" s="60"/>
      <c r="X144" s="60"/>
      <c r="Y144" s="60"/>
      <c r="Z144" s="60"/>
      <c r="AA144" s="60"/>
      <c r="AB144" s="60"/>
      <c r="AC144" s="8"/>
    </row>
    <row r="145" spans="1:64" ht="13" x14ac:dyDescent="0.25">
      <c r="A145" s="61"/>
      <c r="B145" s="60"/>
      <c r="C145" s="60"/>
      <c r="D145" s="60"/>
      <c r="E145" s="62"/>
      <c r="F145" s="62"/>
      <c r="G145" s="62"/>
      <c r="H145" s="62"/>
      <c r="I145" s="94"/>
      <c r="J145" s="94"/>
      <c r="K145" s="94"/>
      <c r="L145" s="94"/>
      <c r="M145" s="94"/>
      <c r="N145" s="94"/>
      <c r="O145" s="235" t="str">
        <f t="shared" si="7"/>
        <v xml:space="preserve"> </v>
      </c>
      <c r="P145" s="60"/>
      <c r="Q145" s="60"/>
      <c r="R145" s="60"/>
      <c r="S145" s="61"/>
      <c r="T145" s="60"/>
      <c r="U145" s="60"/>
      <c r="V145" s="60"/>
      <c r="W145" s="60"/>
      <c r="X145" s="60"/>
      <c r="Y145" s="60"/>
      <c r="Z145" s="60"/>
      <c r="AA145" s="60"/>
      <c r="AB145" s="60"/>
      <c r="AC145" s="8"/>
      <c r="BH145" s="796"/>
      <c r="BI145" s="796"/>
      <c r="BJ145" s="796"/>
      <c r="BK145" s="796"/>
      <c r="BL145" s="796"/>
    </row>
    <row r="146" spans="1:64" ht="13" x14ac:dyDescent="0.25">
      <c r="A146" s="61"/>
      <c r="B146" s="60"/>
      <c r="C146" s="60"/>
      <c r="D146" s="60"/>
      <c r="E146" s="62"/>
      <c r="F146" s="62"/>
      <c r="G146" s="62"/>
      <c r="H146" s="62"/>
      <c r="I146" s="94"/>
      <c r="J146" s="93"/>
      <c r="K146" s="93"/>
      <c r="L146" s="93"/>
      <c r="M146" s="93"/>
      <c r="N146" s="93"/>
      <c r="O146" s="234" t="str">
        <f t="shared" si="7"/>
        <v xml:space="preserve"> </v>
      </c>
      <c r="P146" s="60"/>
      <c r="Q146" s="60"/>
      <c r="R146" s="60"/>
      <c r="S146" s="61"/>
      <c r="T146" s="60"/>
      <c r="U146" s="60"/>
      <c r="V146" s="60"/>
      <c r="W146" s="60"/>
      <c r="X146" s="60"/>
      <c r="Y146" s="60"/>
      <c r="Z146" s="60"/>
      <c r="AA146" s="60"/>
      <c r="AB146" s="60"/>
      <c r="AC146" s="8"/>
    </row>
    <row r="147" spans="1:64" ht="13" x14ac:dyDescent="0.25">
      <c r="A147" s="95"/>
      <c r="B147" s="96"/>
      <c r="C147" s="96"/>
      <c r="D147" s="96"/>
      <c r="E147" s="355"/>
      <c r="F147" s="355"/>
      <c r="G147" s="355"/>
      <c r="H147" s="355"/>
      <c r="I147" s="97"/>
      <c r="J147" s="97"/>
      <c r="K147" s="97"/>
      <c r="L147" s="97"/>
      <c r="M147" s="97"/>
      <c r="N147" s="97"/>
      <c r="O147" s="236" t="str">
        <f t="shared" si="7"/>
        <v xml:space="preserve"> </v>
      </c>
      <c r="P147" s="96"/>
      <c r="Q147" s="96"/>
      <c r="R147" s="96"/>
      <c r="S147" s="95"/>
      <c r="T147" s="96"/>
      <c r="U147" s="96"/>
      <c r="V147" s="96"/>
      <c r="W147" s="96"/>
      <c r="X147" s="96"/>
      <c r="Y147" s="96"/>
      <c r="Z147" s="96"/>
      <c r="AA147" s="96"/>
      <c r="AB147" s="96"/>
      <c r="AC147" s="8"/>
    </row>
    <row r="148" spans="1:64" x14ac:dyDescent="0.2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P148" s="47"/>
      <c r="Q148" s="47"/>
      <c r="R148" s="14"/>
      <c r="S148" s="47"/>
      <c r="T148" s="47"/>
      <c r="U148" s="47"/>
    </row>
    <row r="149" spans="1:64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P149" s="47"/>
      <c r="Q149" s="47"/>
      <c r="R149" s="14"/>
      <c r="S149" s="47"/>
      <c r="T149" s="47"/>
      <c r="U149" s="47"/>
    </row>
    <row r="150" spans="1:64" x14ac:dyDescent="0.2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P150" s="47"/>
      <c r="Q150" s="47"/>
      <c r="R150" s="14"/>
      <c r="S150" s="47"/>
      <c r="T150" s="47"/>
      <c r="U150" s="47"/>
    </row>
    <row r="151" spans="1:64" x14ac:dyDescent="0.2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P151" s="47"/>
      <c r="Q151" s="47"/>
      <c r="R151" s="14"/>
      <c r="S151" s="47"/>
      <c r="T151" s="47"/>
      <c r="U151" s="47"/>
    </row>
    <row r="152" spans="1:64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P152" s="47"/>
      <c r="Q152" s="47"/>
      <c r="R152" s="14"/>
      <c r="S152" s="47"/>
      <c r="T152" s="47"/>
      <c r="U152" s="47"/>
    </row>
    <row r="153" spans="1:64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P153" s="47"/>
      <c r="Q153" s="47"/>
      <c r="R153" s="14"/>
      <c r="S153" s="47"/>
      <c r="T153" s="47"/>
      <c r="U153" s="47"/>
    </row>
    <row r="154" spans="1:64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P154" s="47"/>
      <c r="Q154" s="47"/>
      <c r="R154" s="14"/>
      <c r="S154" s="47"/>
      <c r="T154" s="47"/>
      <c r="U154" s="47"/>
    </row>
    <row r="155" spans="1:64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P155" s="47"/>
      <c r="Q155" s="47"/>
      <c r="R155" s="14"/>
      <c r="S155" s="47"/>
      <c r="T155" s="47"/>
      <c r="U155" s="47"/>
    </row>
    <row r="156" spans="1:64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P156" s="47"/>
      <c r="Q156" s="47"/>
      <c r="R156" s="14"/>
      <c r="S156" s="47"/>
      <c r="T156" s="47"/>
      <c r="U156" s="47"/>
    </row>
    <row r="157" spans="1:64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P157" s="47"/>
      <c r="Q157" s="47"/>
      <c r="R157" s="14"/>
      <c r="S157" s="47"/>
      <c r="T157" s="47"/>
      <c r="U157" s="47"/>
    </row>
    <row r="158" spans="1:64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P158" s="47"/>
      <c r="Q158" s="47"/>
      <c r="R158" s="14"/>
      <c r="S158" s="47"/>
      <c r="T158" s="47"/>
      <c r="U158" s="47"/>
    </row>
    <row r="159" spans="1:64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P159" s="47"/>
      <c r="Q159" s="47"/>
      <c r="R159" s="14"/>
      <c r="S159" s="47"/>
      <c r="T159" s="47"/>
      <c r="U159" s="47"/>
    </row>
    <row r="160" spans="1:64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4"/>
      <c r="S160" s="47"/>
      <c r="T160" s="47"/>
      <c r="U160" s="47"/>
    </row>
    <row r="161" spans="1:21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4"/>
      <c r="S161" s="47"/>
      <c r="T161" s="47"/>
      <c r="U161" s="47"/>
    </row>
    <row r="162" spans="1:21" x14ac:dyDescent="0.25">
      <c r="R162" s="14"/>
    </row>
    <row r="163" spans="1:21" x14ac:dyDescent="0.25">
      <c r="R163" s="14"/>
    </row>
    <row r="164" spans="1:21" x14ac:dyDescent="0.25">
      <c r="R164" s="14"/>
    </row>
    <row r="165" spans="1:21" x14ac:dyDescent="0.25">
      <c r="R165" s="14"/>
    </row>
    <row r="166" spans="1:21" x14ac:dyDescent="0.25">
      <c r="R166" s="14"/>
    </row>
    <row r="167" spans="1:21" x14ac:dyDescent="0.25">
      <c r="R167" s="14"/>
    </row>
    <row r="168" spans="1:21" x14ac:dyDescent="0.25">
      <c r="R168" s="14"/>
    </row>
    <row r="169" spans="1:21" x14ac:dyDescent="0.25">
      <c r="R169" s="14"/>
    </row>
    <row r="170" spans="1:21" x14ac:dyDescent="0.25">
      <c r="R170" s="14"/>
    </row>
    <row r="171" spans="1:21" x14ac:dyDescent="0.25">
      <c r="R171" s="14"/>
    </row>
    <row r="172" spans="1:21" x14ac:dyDescent="0.25">
      <c r="R172" s="14"/>
    </row>
    <row r="173" spans="1:21" x14ac:dyDescent="0.25">
      <c r="R173" s="14"/>
    </row>
    <row r="174" spans="1:21" x14ac:dyDescent="0.25">
      <c r="R174" s="14"/>
    </row>
    <row r="175" spans="1:21" x14ac:dyDescent="0.25">
      <c r="R175" s="14"/>
    </row>
    <row r="176" spans="1:21" x14ac:dyDescent="0.25">
      <c r="R176" s="14"/>
    </row>
    <row r="177" spans="18:18" x14ac:dyDescent="0.25">
      <c r="R177" s="14"/>
    </row>
    <row r="178" spans="18:18" x14ac:dyDescent="0.25">
      <c r="R178" s="14"/>
    </row>
    <row r="179" spans="18:18" x14ac:dyDescent="0.25">
      <c r="R179" s="14"/>
    </row>
    <row r="180" spans="18:18" x14ac:dyDescent="0.25">
      <c r="R180" s="14"/>
    </row>
    <row r="181" spans="18:18" x14ac:dyDescent="0.25">
      <c r="R181" s="14"/>
    </row>
    <row r="182" spans="18:18" x14ac:dyDescent="0.25">
      <c r="R182" s="14"/>
    </row>
    <row r="183" spans="18:18" x14ac:dyDescent="0.25">
      <c r="R183" s="14"/>
    </row>
    <row r="184" spans="18:18" x14ac:dyDescent="0.25">
      <c r="R184" s="14"/>
    </row>
    <row r="185" spans="18:18" x14ac:dyDescent="0.25">
      <c r="R185" s="14"/>
    </row>
    <row r="186" spans="18:18" x14ac:dyDescent="0.25">
      <c r="R186" s="14"/>
    </row>
    <row r="187" spans="18:18" x14ac:dyDescent="0.25">
      <c r="R187" s="14"/>
    </row>
    <row r="188" spans="18:18" x14ac:dyDescent="0.25">
      <c r="R188" s="14"/>
    </row>
    <row r="189" spans="18:18" x14ac:dyDescent="0.25">
      <c r="R189" s="14"/>
    </row>
    <row r="190" spans="18:18" x14ac:dyDescent="0.25">
      <c r="R190" s="14"/>
    </row>
    <row r="191" spans="18:18" x14ac:dyDescent="0.25">
      <c r="R191" s="14"/>
    </row>
    <row r="192" spans="18:18" x14ac:dyDescent="0.25">
      <c r="R192" s="14"/>
    </row>
    <row r="193" spans="18:18" x14ac:dyDescent="0.25">
      <c r="R193" s="14"/>
    </row>
  </sheetData>
  <mergeCells count="81">
    <mergeCell ref="AN43:AU43"/>
    <mergeCell ref="AN44:AN50"/>
    <mergeCell ref="AN84:AU84"/>
    <mergeCell ref="AD26:AH26"/>
    <mergeCell ref="AD27:AH27"/>
    <mergeCell ref="AD28:AH28"/>
    <mergeCell ref="AD47:AH47"/>
    <mergeCell ref="AD48:AH48"/>
    <mergeCell ref="AD49:AH49"/>
    <mergeCell ref="AN61:AN68"/>
    <mergeCell ref="AN69:AU69"/>
    <mergeCell ref="AN70:AN76"/>
    <mergeCell ref="AN77:AU77"/>
    <mergeCell ref="AN78:AN83"/>
    <mergeCell ref="AN52:AN59"/>
    <mergeCell ref="AN60:AU60"/>
    <mergeCell ref="AN20:AN25"/>
    <mergeCell ref="AN26:AU26"/>
    <mergeCell ref="AN27:AN35"/>
    <mergeCell ref="AN36:AU36"/>
    <mergeCell ref="AN37:AN42"/>
    <mergeCell ref="A1:AB1"/>
    <mergeCell ref="BB21:BB22"/>
    <mergeCell ref="BB19:BD19"/>
    <mergeCell ref="BB20:BD20"/>
    <mergeCell ref="BB4:BF5"/>
    <mergeCell ref="BB6:BB7"/>
    <mergeCell ref="BC6:BD6"/>
    <mergeCell ref="BE6:BF6"/>
    <mergeCell ref="AD3:AK3"/>
    <mergeCell ref="AE4:AE6"/>
    <mergeCell ref="AF4:AF6"/>
    <mergeCell ref="AI4:AI6"/>
    <mergeCell ref="AJ4:AJ6"/>
    <mergeCell ref="AK4:AK6"/>
    <mergeCell ref="AG4:AG6"/>
    <mergeCell ref="AH4:AH6"/>
    <mergeCell ref="AD29:AD30"/>
    <mergeCell ref="AD50:AD51"/>
    <mergeCell ref="AD63:AD64"/>
    <mergeCell ref="AD77:AD78"/>
    <mergeCell ref="AD61:AH61"/>
    <mergeCell ref="AD62:AH62"/>
    <mergeCell ref="AD74:AH74"/>
    <mergeCell ref="AD75:AH75"/>
    <mergeCell ref="AD76:AH76"/>
    <mergeCell ref="AE63:AF63"/>
    <mergeCell ref="AG63:AH63"/>
    <mergeCell ref="AG29:AH29"/>
    <mergeCell ref="AE50:AF50"/>
    <mergeCell ref="AG50:AH50"/>
    <mergeCell ref="AD60:AH60"/>
    <mergeCell ref="AE29:AF29"/>
    <mergeCell ref="BH3:BH4"/>
    <mergeCell ref="BI3:BJ3"/>
    <mergeCell ref="BK3:BL3"/>
    <mergeCell ref="AE77:AF77"/>
    <mergeCell ref="AG77:AH77"/>
    <mergeCell ref="AD11:AH11"/>
    <mergeCell ref="AD12:AH12"/>
    <mergeCell ref="AD13:AD14"/>
    <mergeCell ref="AE13:AF13"/>
    <mergeCell ref="AG13:AH13"/>
    <mergeCell ref="AN6:AO7"/>
    <mergeCell ref="AP6:AQ6"/>
    <mergeCell ref="AR6:AS6"/>
    <mergeCell ref="AN51:AU51"/>
    <mergeCell ref="AT6:AU6"/>
    <mergeCell ref="AN8:AN18"/>
    <mergeCell ref="BT28:BX28"/>
    <mergeCell ref="BT52:BX52"/>
    <mergeCell ref="BN28:BR28"/>
    <mergeCell ref="BN52:BR52"/>
    <mergeCell ref="BH145:BL145"/>
    <mergeCell ref="BH52:BL52"/>
    <mergeCell ref="BW3:BX3"/>
    <mergeCell ref="BO3:BP3"/>
    <mergeCell ref="BQ3:BR3"/>
    <mergeCell ref="BN3:BN4"/>
    <mergeCell ref="BT3:BT4"/>
    <mergeCell ref="BU3:BV3"/>
  </mergeCells>
  <phoneticPr fontId="9" type="noConversion"/>
  <conditionalFormatting sqref="A3:AB147">
    <cfRule type="expression" dxfId="19" priority="212">
      <formula>$R3="Monitor"</formula>
    </cfRule>
    <cfRule type="expression" dxfId="18" priority="213">
      <formula>$R3="IA"</formula>
    </cfRule>
    <cfRule type="expression" dxfId="17" priority="214">
      <formula>$R3="Extended IA"</formula>
    </cfRule>
    <cfRule type="expression" dxfId="16" priority="215">
      <formula>$R3="Contained"</formula>
    </cfRule>
    <cfRule type="expression" dxfId="15" priority="216">
      <formula>$R3="Controlled"</formula>
    </cfRule>
    <cfRule type="expression" dxfId="14" priority="217">
      <formula>$R3="Patrol"</formula>
    </cfRule>
    <cfRule type="expression" dxfId="13" priority="218">
      <formula>$R3="Out"</formula>
    </cfRule>
  </conditionalFormatting>
  <conditionalFormatting sqref="AD15:AH24">
    <cfRule type="expression" dxfId="12" priority="7" stopIfTrue="1">
      <formula>MOD(ROW(),2)</formula>
    </cfRule>
  </conditionalFormatting>
  <conditionalFormatting sqref="AD31:AH44">
    <cfRule type="expression" dxfId="11" priority="13" stopIfTrue="1">
      <formula>MOD(ROW(),2)</formula>
    </cfRule>
  </conditionalFormatting>
  <conditionalFormatting sqref="AD52:AH57 AD65:AH71">
    <cfRule type="expression" dxfId="10" priority="16" stopIfTrue="1">
      <formula>MOD(ROW(),2)</formula>
    </cfRule>
  </conditionalFormatting>
  <conditionalFormatting sqref="AD79:AH84">
    <cfRule type="expression" dxfId="9" priority="1" stopIfTrue="1">
      <formula>MOD(ROW(),2)</formula>
    </cfRule>
  </conditionalFormatting>
  <conditionalFormatting sqref="BB8:BB16">
    <cfRule type="expression" dxfId="8" priority="15" stopIfTrue="1">
      <formula>MOD(ROW(),2)</formula>
    </cfRule>
  </conditionalFormatting>
  <dataValidations count="6">
    <dataValidation allowBlank="1" showInputMessage="1" showErrorMessage="1" sqref="V148:AA269" xr:uid="{171FD62A-A0F8-4A78-A14B-41687DBE0364}"/>
    <dataValidation allowBlank="1" showInputMessage="1" showErrorMessage="1" promptTitle="Fiscal Code(s)" prompt="Place both the _x000a_P-Code and _x000a_SABRHS code here. " sqref="T2" xr:uid="{853F46BC-DB9E-490D-A7EB-32067A7F0ED1}"/>
    <dataValidation allowBlank="1" showInputMessage="1" showErrorMessage="1" promptTitle="New Acres Updated" prompt="After SIT, CAD, and YTD have been updated with current acreage total yellow headed columns can be replaced with new acreage updates as needed." sqref="Z2" xr:uid="{39797368-FB98-4B74-AAE4-88FB3FE168E6}"/>
    <dataValidation allowBlank="1" showErrorMessage="1" promptTitle="Additional Acres" prompt="Identify additional acreage and date. _x000a_Esnsure total acres is accurate in spreadsheet." sqref="Y2" xr:uid="{629FC96F-A435-4C33-B03D-112EAE2B2842}"/>
    <dataValidation allowBlank="1" showErrorMessage="1" promptTitle="SIT Data Entered" prompt="Identify data entered in SIT using the same format as in SIT along with the date &amp; your initials (e.g. 1 LNF H for 2.34 LNF H acres; 4/10 HP)" sqref="W2" xr:uid="{94D04568-DEAB-4EC9-80DE-E0EFF8430FE6}"/>
    <dataValidation allowBlank="1" showInputMessage="1" showErrorMessage="1" promptTitle="Additional Acres" prompt="Identify additional acreage and date. _x000a_Esnsure total acres is accurate in spreadsheet." sqref="X2" xr:uid="{17F40242-13EF-4FE0-ACBD-B04F3FA53754}"/>
  </dataValidations>
  <printOptions gridLines="1"/>
  <pageMargins left="0.25" right="0.25" top="0.75" bottom="0.75" header="0.3" footer="0.3"/>
  <pageSetup scale="32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 xr:uid="{00000000-0002-0000-0300-000000000000}">
          <x14:formula1>
            <xm:f>'Picklist Tables'!$H$5:$H$6</xm:f>
          </x14:formula1>
          <xm:sqref>V3:V147</xm:sqref>
        </x14:dataValidation>
        <x14:dataValidation type="list" allowBlank="1" showErrorMessage="1" xr:uid="{00000000-0002-0000-0300-000002000000}">
          <x14:formula1>
            <xm:f>'Picklist Tables'!$E$5:$E$6</xm:f>
          </x14:formula1>
          <xm:sqref>Q3:Q147</xm:sqref>
        </x14:dataValidation>
        <x14:dataValidation type="list" allowBlank="1" showErrorMessage="1" xr:uid="{00000000-0002-0000-0300-000003000000}">
          <x14:formula1>
            <xm:f>'Picklist Tables'!$B$13:$B$19</xm:f>
          </x14:formula1>
          <xm:sqref>R3:R147</xm:sqref>
        </x14:dataValidation>
        <x14:dataValidation type="list" allowBlank="1" showInputMessage="1" showErrorMessage="1" xr:uid="{8EDF1908-D65D-4B2A-A545-037498A34821}">
          <x14:formula1>
            <xm:f>'Picklist Tables'!$H$5:$H$6</xm:f>
          </x14:formula1>
          <xm:sqref>P3:P147 W3:W147 Y3:Y147</xm:sqref>
        </x14:dataValidation>
        <x14:dataValidation type="list" allowBlank="1" xr:uid="{9587EDA9-2490-47C7-B6F9-77E750776EEB}">
          <x14:formula1>
            <xm:f>'Picklist Tables'!$H$5:$H$6</xm:f>
          </x14:formula1>
          <xm:sqref>AB3:AB147</xm:sqref>
        </x14:dataValidation>
        <x14:dataValidation type="list" allowBlank="1" showInputMessage="1" showErrorMessage="1" xr:uid="{FB5E53C1-424C-4A9E-A1E4-D04CF2968F1B}">
          <x14:formula1>
            <xm:f>'Picklist Tables'!$K$17:$K$25</xm:f>
          </x14:formula1>
          <xm:sqref>G3:G147</xm:sqref>
        </x14:dataValidation>
        <x14:dataValidation type="list" allowBlank="1" showInputMessage="1" showErrorMessage="1" xr:uid="{86A77D91-08FD-4E2E-8E1A-86533BEC2137}">
          <x14:formula1>
            <xm:f>'Picklist Tables'!$M$5:$M$31</xm:f>
          </x14:formula1>
          <xm:sqref>M3:M147</xm:sqref>
        </x14:dataValidation>
        <x14:dataValidation type="list" allowBlank="1" showInputMessage="1" showErrorMessage="1" xr:uid="{338B6031-EDB2-45E0-A0B4-B7DBF006AC6A}">
          <x14:formula1>
            <xm:f>'Picklist Tables'!$M$5:$M$17</xm:f>
          </x14:formula1>
          <xm:sqref>D3:D147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U145"/>
  <sheetViews>
    <sheetView zoomScaleNormal="100" workbookViewId="0">
      <pane xSplit="7" ySplit="3" topLeftCell="Z4" activePane="bottomRight" state="frozen"/>
      <selection pane="topRight" activeCell="F1" sqref="F1"/>
      <selection pane="bottomLeft" activeCell="A3" sqref="A3"/>
      <selection pane="bottomRight" activeCell="Z85" sqref="Z85"/>
    </sheetView>
  </sheetViews>
  <sheetFormatPr defaultColWidth="14.453125" defaultRowHeight="12.5" x14ac:dyDescent="0.25"/>
  <cols>
    <col min="1" max="1" width="36.1796875" style="99" bestFit="1" customWidth="1"/>
    <col min="2" max="2" width="9" style="99" bestFit="1" customWidth="1"/>
    <col min="3" max="3" width="34.453125" style="99" customWidth="1"/>
    <col min="4" max="4" width="13.7265625" style="99" bestFit="1" customWidth="1"/>
    <col min="5" max="5" width="8.81640625" style="99" bestFit="1" customWidth="1"/>
    <col min="6" max="6" width="13.81640625" bestFit="1" customWidth="1"/>
    <col min="7" max="7" width="14.81640625" style="99" customWidth="1"/>
    <col min="8" max="8" width="10.7265625" style="99" customWidth="1"/>
    <col min="9" max="9" width="10.26953125" style="99" bestFit="1" customWidth="1"/>
    <col min="10" max="10" width="10.1796875" style="99" bestFit="1" customWidth="1"/>
    <col min="11" max="11" width="10.26953125" style="99" bestFit="1" customWidth="1"/>
    <col min="12" max="12" width="10.1796875" style="99" bestFit="1" customWidth="1"/>
    <col min="13" max="13" width="10.26953125" style="99" bestFit="1" customWidth="1"/>
    <col min="14" max="14" width="10.1796875" style="99" bestFit="1" customWidth="1"/>
    <col min="15" max="15" width="10.26953125" style="99" bestFit="1" customWidth="1"/>
    <col min="16" max="16" width="10.1796875" style="99" bestFit="1" customWidth="1"/>
    <col min="17" max="18" width="10.26953125" style="99" bestFit="1" customWidth="1"/>
    <col min="19" max="19" width="8.81640625" style="99" customWidth="1"/>
    <col min="20" max="20" width="13.54296875" style="99" bestFit="1" customWidth="1"/>
    <col min="21" max="21" width="11.453125" style="99" customWidth="1"/>
    <col min="22" max="22" width="10.81640625" style="99" bestFit="1" customWidth="1"/>
    <col min="23" max="23" width="14.54296875" style="99" bestFit="1" customWidth="1"/>
    <col min="24" max="24" width="11.453125" style="99" customWidth="1"/>
    <col min="25" max="25" width="47.81640625" style="99" customWidth="1"/>
    <col min="26" max="26" width="47" style="112" customWidth="1"/>
    <col min="27" max="27" width="6.1796875" style="112" customWidth="1"/>
    <col min="28" max="28" width="9.453125" style="6" customWidth="1"/>
    <col min="29" max="29" width="9.81640625" style="6" customWidth="1"/>
    <col min="30" max="30" width="9.1796875" style="6" customWidth="1"/>
    <col min="31" max="31" width="10" style="6" customWidth="1"/>
    <col min="32" max="32" width="10.453125" style="6" customWidth="1"/>
    <col min="33" max="33" width="9.54296875" style="6" customWidth="1"/>
    <col min="34" max="34" width="10.453125" style="6" customWidth="1"/>
    <col min="35" max="35" width="11.1796875" style="6" customWidth="1"/>
    <col min="36" max="36" width="12.1796875" style="6" customWidth="1"/>
    <col min="37" max="37" width="14.81640625" style="108" customWidth="1"/>
    <col min="38" max="38" width="15.81640625" style="108" customWidth="1"/>
    <col min="39" max="41" width="8.54296875" style="108" customWidth="1"/>
    <col min="42" max="45" width="8.54296875" style="6" customWidth="1"/>
    <col min="46" max="16384" width="14.453125" style="6"/>
  </cols>
  <sheetData>
    <row r="1" spans="1:47" ht="41.15" customHeight="1" thickBot="1" x14ac:dyDescent="0.3">
      <c r="A1" s="842" t="s">
        <v>484</v>
      </c>
      <c r="B1" s="843"/>
      <c r="C1" s="84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</row>
    <row r="2" spans="1:47" ht="13" thickBot="1" x14ac:dyDescent="0.3">
      <c r="F2" s="99"/>
      <c r="AA2" s="6"/>
    </row>
    <row r="3" spans="1:47" ht="39.5" thickBot="1" x14ac:dyDescent="0.3">
      <c r="A3" s="364" t="s">
        <v>485</v>
      </c>
      <c r="B3" s="364" t="s">
        <v>486</v>
      </c>
      <c r="C3" s="364" t="s">
        <v>487</v>
      </c>
      <c r="D3" s="364" t="s">
        <v>21</v>
      </c>
      <c r="E3" s="364" t="s">
        <v>488</v>
      </c>
      <c r="F3" s="364" t="s">
        <v>489</v>
      </c>
      <c r="G3" s="364" t="s">
        <v>490</v>
      </c>
      <c r="H3" s="364" t="s">
        <v>1130</v>
      </c>
      <c r="I3" s="364" t="s">
        <v>491</v>
      </c>
      <c r="J3" s="364" t="s">
        <v>492</v>
      </c>
      <c r="K3" s="364" t="s">
        <v>493</v>
      </c>
      <c r="L3" s="364" t="s">
        <v>494</v>
      </c>
      <c r="M3" s="364" t="s">
        <v>495</v>
      </c>
      <c r="N3" s="364" t="s">
        <v>496</v>
      </c>
      <c r="O3" s="365" t="s">
        <v>497</v>
      </c>
      <c r="P3" s="364" t="s">
        <v>498</v>
      </c>
      <c r="Q3" s="364" t="s">
        <v>499</v>
      </c>
      <c r="R3" s="366" t="s">
        <v>500</v>
      </c>
      <c r="S3" s="367" t="s">
        <v>35</v>
      </c>
      <c r="T3" s="367" t="s">
        <v>501</v>
      </c>
      <c r="U3" s="367" t="s">
        <v>502</v>
      </c>
      <c r="V3" s="368" t="s">
        <v>38</v>
      </c>
      <c r="W3" s="369" t="s">
        <v>503</v>
      </c>
      <c r="X3" s="370" t="s">
        <v>504</v>
      </c>
      <c r="Y3" s="371" t="s">
        <v>138</v>
      </c>
      <c r="Z3" s="372" t="s">
        <v>140</v>
      </c>
      <c r="AA3" s="43"/>
      <c r="AI3" s="43"/>
    </row>
    <row r="4" spans="1:47" ht="16" thickBot="1" x14ac:dyDescent="0.3">
      <c r="A4" s="602" t="s">
        <v>505</v>
      </c>
      <c r="B4" s="603" t="s">
        <v>107</v>
      </c>
      <c r="C4" s="603" t="s">
        <v>1</v>
      </c>
      <c r="D4" s="603">
        <v>200094</v>
      </c>
      <c r="E4" s="603" t="s">
        <v>217</v>
      </c>
      <c r="F4" s="603" t="s">
        <v>217</v>
      </c>
      <c r="G4" s="603" t="s">
        <v>506</v>
      </c>
      <c r="H4" s="604">
        <v>45016</v>
      </c>
      <c r="I4" s="605">
        <v>7</v>
      </c>
      <c r="J4" s="604"/>
      <c r="K4" s="605"/>
      <c r="L4" s="604"/>
      <c r="M4" s="605"/>
      <c r="N4" s="604"/>
      <c r="O4" s="605"/>
      <c r="P4" s="604"/>
      <c r="Q4" s="605"/>
      <c r="R4" s="605">
        <f>Table4[[#This Row],[Initial Acres]]+Table4[[#This Row],[Day 2 
Acres]]+Table4[[#This Row],[Day 3
Acres]]+Table4[[#This Row],[Day 4
Acres]]+Table4[[#This Row],[Day 5 
Acres]]</f>
        <v>7</v>
      </c>
      <c r="S4" s="603" t="str">
        <f>IF($R4&lt;=0, " ",IF($R4&lt;=0.25, "A",IF($R4&lt;10, "B",IF($R4&lt;100, "C", IF($R4&lt;300, "D",IF($R4&lt;1000, "E",IF($R4&lt;5000,"F",IF($R4&gt;=5000, "G"))))))))</f>
        <v>B</v>
      </c>
      <c r="T4" s="603" t="s">
        <v>507</v>
      </c>
      <c r="U4" s="603" t="s">
        <v>508</v>
      </c>
      <c r="V4" s="603"/>
      <c r="W4" s="603" t="s">
        <v>107</v>
      </c>
      <c r="X4" s="603" t="s">
        <v>107</v>
      </c>
      <c r="Y4" s="603"/>
      <c r="Z4" s="606"/>
      <c r="AA4" s="45"/>
      <c r="AB4" s="744" t="s">
        <v>509</v>
      </c>
      <c r="AC4" s="745"/>
      <c r="AD4" s="745"/>
      <c r="AE4" s="745"/>
      <c r="AF4" s="745"/>
      <c r="AG4" s="745"/>
      <c r="AH4" s="745"/>
      <c r="AI4" s="746"/>
      <c r="AK4" s="554">
        <f>IF($H4,INT($H4)," ")</f>
        <v>45016</v>
      </c>
      <c r="AL4" s="555" t="str">
        <f>IF($J4,INT($J4)," ")</f>
        <v xml:space="preserve"> </v>
      </c>
      <c r="AM4" s="555" t="str">
        <f>IF($L4,INT($L4)," ")</f>
        <v xml:space="preserve"> </v>
      </c>
      <c r="AN4" s="555" t="str">
        <f>IF($N4,INT($N4)," ")</f>
        <v xml:space="preserve"> </v>
      </c>
      <c r="AO4" s="556" t="str">
        <f>IF($P4,INT($P4)," ")</f>
        <v xml:space="preserve"> </v>
      </c>
      <c r="AR4" s="6" t="str" cm="1">
        <f t="array" ref="AR4:AR144">IF(E4:E144=AB8,SUM(IF(1/COUNTIF(AK4:AO144,AK4:AO144)=1,1,0)),"")</f>
        <v/>
      </c>
      <c r="AU4" s="6">
        <f>COUNTA(AK4:AO144)</f>
        <v>705</v>
      </c>
    </row>
    <row r="5" spans="1:47" ht="13" x14ac:dyDescent="0.25">
      <c r="A5" s="607" t="s">
        <v>510</v>
      </c>
      <c r="B5" s="27" t="s">
        <v>107</v>
      </c>
      <c r="C5" s="27" t="s">
        <v>511</v>
      </c>
      <c r="D5" s="27">
        <v>200100</v>
      </c>
      <c r="E5" s="27" t="s">
        <v>52</v>
      </c>
      <c r="F5" s="27" t="s">
        <v>41</v>
      </c>
      <c r="G5" s="27" t="s">
        <v>6</v>
      </c>
      <c r="H5" s="608">
        <v>45021</v>
      </c>
      <c r="I5" s="63">
        <v>10</v>
      </c>
      <c r="J5" s="608">
        <v>45048</v>
      </c>
      <c r="K5" s="63">
        <v>2</v>
      </c>
      <c r="L5" s="608"/>
      <c r="M5" s="63"/>
      <c r="N5" s="608"/>
      <c r="O5" s="63"/>
      <c r="P5" s="608"/>
      <c r="Q5" s="63"/>
      <c r="R5" s="63">
        <f>Table4[[#This Row],[Initial Acres]]+Table4[[#This Row],[Day 2 
Acres]]+Table4[[#This Row],[Day 3
Acres]]+Table4[[#This Row],[Day 4
Acres]]+Table4[[#This Row],[Day 5 
Acres]]</f>
        <v>12</v>
      </c>
      <c r="S5" s="27" t="str">
        <f>IF($R5&lt;=0, " ",IF($R5&lt;=0.25, "A",IF($R5&lt;10, "B",IF($R5&lt;100, "C", IF($R5&lt;300, "D",IF($R5&lt;1000, "E",IF($R5&lt;5000,"F",IF($R5&gt;=5000, "G"))))))))</f>
        <v>C</v>
      </c>
      <c r="T5" s="27" t="s">
        <v>512</v>
      </c>
      <c r="U5" s="27" t="s">
        <v>508</v>
      </c>
      <c r="V5" s="27"/>
      <c r="W5" s="27" t="s">
        <v>107</v>
      </c>
      <c r="X5" s="27" t="s">
        <v>107</v>
      </c>
      <c r="Y5" s="609" t="s">
        <v>513</v>
      </c>
      <c r="Z5" s="610"/>
      <c r="AA5" s="45"/>
      <c r="AB5" s="864" t="s">
        <v>488</v>
      </c>
      <c r="AC5" s="848" t="s">
        <v>514</v>
      </c>
      <c r="AD5" s="867" t="s">
        <v>515</v>
      </c>
      <c r="AE5" s="873" t="s">
        <v>516</v>
      </c>
      <c r="AF5" s="848" t="s">
        <v>517</v>
      </c>
      <c r="AG5" s="848" t="s">
        <v>518</v>
      </c>
      <c r="AH5" s="860" t="s">
        <v>519</v>
      </c>
      <c r="AI5" s="862" t="s">
        <v>520</v>
      </c>
      <c r="AK5" s="557">
        <f>IF($H5,INT($H5)," ")</f>
        <v>45021</v>
      </c>
      <c r="AL5" s="321">
        <f>IF($J5,INT($J5)," ")</f>
        <v>45048</v>
      </c>
      <c r="AM5" s="321" t="str">
        <f>IF($L5,INT($L5)," ")</f>
        <v xml:space="preserve"> </v>
      </c>
      <c r="AN5" s="321" t="str">
        <f>IF($N5,INT($N5)," ")</f>
        <v xml:space="preserve"> </v>
      </c>
      <c r="AO5" s="558" t="str">
        <f>IF($P5,INT($P5)," ")</f>
        <v xml:space="preserve"> </v>
      </c>
      <c r="AR5" s="6">
        <v>18</v>
      </c>
      <c r="AU5" s="6" cm="1">
        <f t="array" ref="AU5">IFERROR(ROWS(_xlfn.UNIQUE(_xlfn._xlws.FILTER(AK4:AO144,E4:E144=AB8))),0)</f>
        <v>57</v>
      </c>
    </row>
    <row r="6" spans="1:47" ht="13" x14ac:dyDescent="0.25">
      <c r="A6" s="607" t="s">
        <v>521</v>
      </c>
      <c r="B6" s="27" t="s">
        <v>107</v>
      </c>
      <c r="C6" s="27" t="s">
        <v>522</v>
      </c>
      <c r="D6" s="27">
        <v>200102</v>
      </c>
      <c r="E6" s="27" t="s">
        <v>52</v>
      </c>
      <c r="F6" s="27" t="s">
        <v>65</v>
      </c>
      <c r="G6" s="27" t="s">
        <v>6</v>
      </c>
      <c r="H6" s="608">
        <v>45022</v>
      </c>
      <c r="I6" s="63">
        <v>1</v>
      </c>
      <c r="J6" s="608"/>
      <c r="K6" s="63"/>
      <c r="L6" s="608"/>
      <c r="M6" s="63"/>
      <c r="N6" s="608"/>
      <c r="O6" s="63"/>
      <c r="P6" s="608"/>
      <c r="Q6" s="63"/>
      <c r="R6" s="63">
        <f>Table4[[#This Row],[Initial Acres]]+Table4[[#This Row],[Day 2 
Acres]]+Table4[[#This Row],[Day 3
Acres]]+Table4[[#This Row],[Day 4
Acres]]+Table4[[#This Row],[Day 5 
Acres]]</f>
        <v>1</v>
      </c>
      <c r="S6" s="27" t="str">
        <f>IF($R6&lt;=0, " ",IF($R6&lt;=0.25, "A",IF($R6&lt;10, "B",IF($R6&lt;100, "C", IF($R6&lt;300, "D",IF($R6&lt;1000, "E",IF($R6&lt;5000,"F",IF($R6&gt;=5000, "G"))))))))</f>
        <v>B</v>
      </c>
      <c r="T6" s="27" t="s">
        <v>512</v>
      </c>
      <c r="U6" s="27" t="s">
        <v>508</v>
      </c>
      <c r="V6" s="27"/>
      <c r="W6" s="27" t="s">
        <v>107</v>
      </c>
      <c r="X6" s="27" t="s">
        <v>107</v>
      </c>
      <c r="Y6" s="27"/>
      <c r="Z6" s="610"/>
      <c r="AA6" s="51"/>
      <c r="AB6" s="865"/>
      <c r="AC6" s="849"/>
      <c r="AD6" s="868"/>
      <c r="AE6" s="874"/>
      <c r="AF6" s="849"/>
      <c r="AG6" s="849"/>
      <c r="AH6" s="861"/>
      <c r="AI6" s="863"/>
      <c r="AK6" s="557">
        <f t="shared" ref="AK6:AK69" si="0">IF($H6,INT($H6)," ")</f>
        <v>45022</v>
      </c>
      <c r="AL6" s="321" t="str">
        <f t="shared" ref="AL6:AL69" si="1">IF($J6,INT($J6)," ")</f>
        <v xml:space="preserve"> </v>
      </c>
      <c r="AM6" s="321" t="str">
        <f t="shared" ref="AM6:AM69" si="2">IF($L6,INT($L6)," ")</f>
        <v xml:space="preserve"> </v>
      </c>
      <c r="AN6" s="321" t="str">
        <f t="shared" ref="AN6:AN69" si="3">IF($N6,INT($N6)," ")</f>
        <v xml:space="preserve"> </v>
      </c>
      <c r="AO6" s="558" t="str">
        <f t="shared" ref="AO6:AO69" si="4">IF($P6,INT($P6)," ")</f>
        <v xml:space="preserve"> </v>
      </c>
      <c r="AR6" s="6">
        <v>18</v>
      </c>
      <c r="AS6" s="6" t="e" cm="1">
        <f t="array" ref="AS6">SUM(IF($E$4:$E$144=AB8, 1/(COUNTIF($AK$4:$AO$145,$AK$4:$AO$145)),""))</f>
        <v>#N/A</v>
      </c>
    </row>
    <row r="7" spans="1:47" ht="13.5" thickBot="1" x14ac:dyDescent="0.3">
      <c r="A7" s="607" t="s">
        <v>523</v>
      </c>
      <c r="B7" s="27" t="s">
        <v>107</v>
      </c>
      <c r="C7" s="27" t="s">
        <v>524</v>
      </c>
      <c r="D7" s="27">
        <v>200108</v>
      </c>
      <c r="E7" s="27" t="s">
        <v>52</v>
      </c>
      <c r="F7" s="27" t="s">
        <v>143</v>
      </c>
      <c r="G7" s="27" t="s">
        <v>506</v>
      </c>
      <c r="H7" s="608">
        <v>45026</v>
      </c>
      <c r="I7" s="63">
        <v>20</v>
      </c>
      <c r="J7" s="608"/>
      <c r="K7" s="63"/>
      <c r="L7" s="608"/>
      <c r="M7" s="63"/>
      <c r="N7" s="608"/>
      <c r="O7" s="63"/>
      <c r="P7" s="608"/>
      <c r="Q7" s="63"/>
      <c r="R7" s="63">
        <f>Table4[[#This Row],[Initial Acres]]+Table4[[#This Row],[Day 2 
Acres]]+Table4[[#This Row],[Day 3
Acres]]+Table4[[#This Row],[Day 4
Acres]]+Table4[[#This Row],[Day 5 
Acres]]</f>
        <v>20</v>
      </c>
      <c r="S7" s="27" t="str">
        <f>IF($R7&lt;=0, " ",IF($R7&lt;=0.25, "A",IF($R7&lt;10, "B",IF($R7&lt;100, "C", IF($R7&lt;300, "D",IF($R7&lt;1000, "E",IF($R7&lt;5000,"F",IF($R7&gt;=5000, "G"))))))))</f>
        <v>C</v>
      </c>
      <c r="T7" s="27" t="s">
        <v>525</v>
      </c>
      <c r="U7" s="27" t="s">
        <v>508</v>
      </c>
      <c r="V7" s="27"/>
      <c r="W7" s="27" t="s">
        <v>107</v>
      </c>
      <c r="X7" s="27" t="s">
        <v>107</v>
      </c>
      <c r="Y7" s="27"/>
      <c r="Z7" s="610"/>
      <c r="AA7" s="51"/>
      <c r="AB7" s="866"/>
      <c r="AC7" s="849"/>
      <c r="AD7" s="868"/>
      <c r="AE7" s="874"/>
      <c r="AF7" s="849"/>
      <c r="AG7" s="849"/>
      <c r="AH7" s="861"/>
      <c r="AI7" s="863"/>
      <c r="AK7" s="557">
        <f t="shared" si="0"/>
        <v>45026</v>
      </c>
      <c r="AL7" s="321" t="str">
        <f t="shared" si="1"/>
        <v xml:space="preserve"> </v>
      </c>
      <c r="AM7" s="321" t="str">
        <f t="shared" si="2"/>
        <v xml:space="preserve"> </v>
      </c>
      <c r="AN7" s="321" t="str">
        <f t="shared" si="3"/>
        <v xml:space="preserve"> </v>
      </c>
      <c r="AO7" s="558" t="str">
        <f t="shared" si="4"/>
        <v xml:space="preserve"> </v>
      </c>
      <c r="AR7" s="6">
        <v>18</v>
      </c>
      <c r="AS7" s="6" cm="1">
        <f t="array" ref="AS7">SUM(IF(AK4:AO144&lt;&gt;"",1/COUNTIF(AK4:AO144,AK4:AO144),0))</f>
        <v>47.000000000000917</v>
      </c>
    </row>
    <row r="8" spans="1:47" ht="13" x14ac:dyDescent="0.25">
      <c r="A8" s="607" t="s">
        <v>526</v>
      </c>
      <c r="B8" s="27" t="s">
        <v>107</v>
      </c>
      <c r="C8" s="27" t="s">
        <v>1</v>
      </c>
      <c r="D8" s="27">
        <v>200132</v>
      </c>
      <c r="E8" s="27" t="s">
        <v>52</v>
      </c>
      <c r="F8" s="27" t="s">
        <v>65</v>
      </c>
      <c r="G8" s="27" t="s">
        <v>6</v>
      </c>
      <c r="H8" s="608">
        <v>45029</v>
      </c>
      <c r="I8" s="63">
        <v>1</v>
      </c>
      <c r="J8" s="608"/>
      <c r="K8" s="63"/>
      <c r="L8" s="608"/>
      <c r="M8" s="63"/>
      <c r="N8" s="608"/>
      <c r="O8" s="63"/>
      <c r="P8" s="608"/>
      <c r="Q8" s="63"/>
      <c r="R8" s="63">
        <f>Table4[[#This Row],[Initial Acres]]+Table4[[#This Row],[Day 2 
Acres]]+Table4[[#This Row],[Day 3
Acres]]+Table4[[#This Row],[Day 4
Acres]]+Table4[[#This Row],[Day 5 
Acres]]</f>
        <v>1</v>
      </c>
      <c r="S8" s="27" t="str">
        <f>IF($R8&lt;=0, " ",IF($R8&lt;=0.25, "A",IF($R8&lt;10, "B",IF($R8&lt;100, "C", IF($R8&lt;300, "D",IF($R8&lt;1000, "E",IF($R8&lt;5000,"F",IF($R8&gt;=5000, "G"))))))))</f>
        <v>B</v>
      </c>
      <c r="T8" s="27" t="s">
        <v>512</v>
      </c>
      <c r="U8" s="27" t="s">
        <v>508</v>
      </c>
      <c r="V8" s="27"/>
      <c r="W8" s="27" t="s">
        <v>43</v>
      </c>
      <c r="X8" s="27" t="s">
        <v>107</v>
      </c>
      <c r="Y8" s="27"/>
      <c r="Z8" s="610"/>
      <c r="AA8" s="51"/>
      <c r="AB8" s="292" t="s">
        <v>52</v>
      </c>
      <c r="AC8" s="551">
        <f>COUNTIFS($E$4:$E$143, $AB8,$B$4:$B$143,"Y")</f>
        <v>20</v>
      </c>
      <c r="AD8" s="552">
        <f>COUNTIF($E$4:$E$143, $AB8)</f>
        <v>76</v>
      </c>
      <c r="AE8" s="566">
        <f>SUMIFS($R$4:$R$144,$E$4:$E$144,$AB8)</f>
        <v>2916</v>
      </c>
      <c r="AF8" s="552" t="e" cm="1">
        <f t="array" ref="AF8">SUM(IF($AB8=$E$4:$E$144, 1/(COUNTIF($AK$4:$AO$145,$AK$4:$AO$145)),""))</f>
        <v>#N/A</v>
      </c>
      <c r="AG8" s="552">
        <f>COUNTIFS($E$4:$E$144,$AB8,$H$4:$H$144,"&lt;&gt;")+COUNTIFS($E$4:$E$144,$AB8,$J$4:$J$144,"&lt;&gt;")+COUNTIFS($E$4:$E$144,$AB8,$L$4:$L$144,"&lt;&gt;")+COUNTIFS($E$4:$E$144,$AB8,$N$4:$N$144,"&lt;&gt;")+COUNTIFS($E$4:$E$144,$AB8,$P$4:$P$144,"&lt;&gt;")</f>
        <v>125</v>
      </c>
      <c r="AH8" s="552">
        <f>COUNTIFS($E$4:$E$143, $AB8,$B$4:$B$143,"Y",$W$4:$W$143,"y")</f>
        <v>19</v>
      </c>
      <c r="AI8" s="570">
        <f>SUMIFS($R$4:$R$144,$E$4:$E$144,$AB8,$W$4:$W$144,"Y")</f>
        <v>2908</v>
      </c>
      <c r="AK8" s="557">
        <f t="shared" si="0"/>
        <v>45029</v>
      </c>
      <c r="AL8" s="321" t="str">
        <f t="shared" si="1"/>
        <v xml:space="preserve"> </v>
      </c>
      <c r="AM8" s="321" t="str">
        <f t="shared" si="2"/>
        <v xml:space="preserve"> </v>
      </c>
      <c r="AN8" s="321" t="str">
        <f t="shared" si="3"/>
        <v xml:space="preserve"> </v>
      </c>
      <c r="AO8" s="558" t="str">
        <f t="shared" si="4"/>
        <v xml:space="preserve"> </v>
      </c>
      <c r="AR8" s="6">
        <v>18</v>
      </c>
    </row>
    <row r="9" spans="1:47" ht="13" x14ac:dyDescent="0.25">
      <c r="A9" s="607" t="s">
        <v>527</v>
      </c>
      <c r="B9" s="27" t="s">
        <v>107</v>
      </c>
      <c r="C9" s="27" t="s">
        <v>528</v>
      </c>
      <c r="D9" s="27">
        <v>200137</v>
      </c>
      <c r="E9" s="27" t="s">
        <v>52</v>
      </c>
      <c r="F9" s="27" t="s">
        <v>143</v>
      </c>
      <c r="G9" s="27" t="s">
        <v>529</v>
      </c>
      <c r="H9" s="608">
        <v>45044</v>
      </c>
      <c r="I9" s="63">
        <v>115</v>
      </c>
      <c r="J9" s="608"/>
      <c r="K9" s="63"/>
      <c r="L9" s="608"/>
      <c r="M9" s="63"/>
      <c r="N9" s="608"/>
      <c r="O9" s="63"/>
      <c r="P9" s="608"/>
      <c r="Q9" s="63"/>
      <c r="R9" s="63">
        <f>Table4[[#This Row],[Initial Acres]]+Table4[[#This Row],[Day 2 
Acres]]+Table4[[#This Row],[Day 3
Acres]]+Table4[[#This Row],[Day 4
Acres]]+Table4[[#This Row],[Day 5 
Acres]]</f>
        <v>115</v>
      </c>
      <c r="S9" s="27" t="str">
        <f>IF($R9&lt;=0, " ",IF($R9&lt;=0.25, "A",IF($R9&lt;10, "B",IF($R9&lt;100, "C", IF($R9&lt;300, "D",IF($R9&lt;1000, "E",IF($R9&lt;5000,"F",IF($R9&gt;=5000, "G"))))))))</f>
        <v>D</v>
      </c>
      <c r="T9" s="27" t="s">
        <v>525</v>
      </c>
      <c r="U9" s="27" t="s">
        <v>508</v>
      </c>
      <c r="V9" s="27"/>
      <c r="W9" s="27" t="s">
        <v>107</v>
      </c>
      <c r="X9" s="27" t="s">
        <v>107</v>
      </c>
      <c r="Y9" s="27"/>
      <c r="Z9" s="610"/>
      <c r="AA9" s="51"/>
      <c r="AB9" s="113" t="s">
        <v>151</v>
      </c>
      <c r="AC9" s="109">
        <f>COUNTIFS($E$4:$E$143, $AB9,$B$4:$B$143,"Y")</f>
        <v>1</v>
      </c>
      <c r="AD9" s="550">
        <f>COUNTIF($E$4:$E$143, $AB9)</f>
        <v>1</v>
      </c>
      <c r="AE9" s="567">
        <f>SUMIFS($R$4:$R$144,$E$4:$E$144,$AB9)</f>
        <v>1.5</v>
      </c>
      <c r="AF9" s="550"/>
      <c r="AG9" s="550">
        <f>COUNTIFS($E$4:$E$144,$AB9,$H$4:$H$144,"&lt;&gt;")+COUNTIFS($E$4:$E$144,$AB9,$J$4:$J$144,"&lt;&gt;")+COUNTIFS($E$4:$E$144,$AB9,$L$4:$L$144,"&lt;&gt;")+COUNTIFS($E$4:$E$144,$AB9,$N$4:$N$144,"&lt;&gt;")+COUNTIFS($E$4:$E$144,$AB9,$P$4:$P$144,"&lt;&gt;")</f>
        <v>1</v>
      </c>
      <c r="AH9" s="550">
        <f>COUNTIFS($E$4:$E$143, $AB9,$B$4:$B$143,"Y",$W$4:$W$143,"y")</f>
        <v>1</v>
      </c>
      <c r="AI9" s="571">
        <f>SUMIFS($R$4:$R$144,$E$4:$E$144,$AB9,$W$4:$W$144,"Y")</f>
        <v>1.5</v>
      </c>
      <c r="AK9" s="557">
        <f t="shared" si="0"/>
        <v>45044</v>
      </c>
      <c r="AL9" s="321" t="str">
        <f t="shared" si="1"/>
        <v xml:space="preserve"> </v>
      </c>
      <c r="AM9" s="321" t="str">
        <f t="shared" si="2"/>
        <v xml:space="preserve"> </v>
      </c>
      <c r="AN9" s="321" t="str">
        <f t="shared" si="3"/>
        <v xml:space="preserve"> </v>
      </c>
      <c r="AO9" s="558" t="str">
        <f t="shared" si="4"/>
        <v xml:space="preserve"> </v>
      </c>
      <c r="AR9" s="6">
        <v>18</v>
      </c>
    </row>
    <row r="10" spans="1:47" ht="13.5" thickBot="1" x14ac:dyDescent="0.3">
      <c r="A10" s="607" t="s">
        <v>530</v>
      </c>
      <c r="B10" s="27" t="s">
        <v>107</v>
      </c>
      <c r="C10" s="27">
        <v>4</v>
      </c>
      <c r="D10" s="27">
        <v>200138</v>
      </c>
      <c r="E10" s="27" t="s">
        <v>52</v>
      </c>
      <c r="F10" s="27" t="s">
        <v>50</v>
      </c>
      <c r="G10" s="27" t="s">
        <v>529</v>
      </c>
      <c r="H10" s="608">
        <v>45032</v>
      </c>
      <c r="I10" s="63">
        <v>46</v>
      </c>
      <c r="J10" s="608">
        <v>45046</v>
      </c>
      <c r="K10" s="63">
        <v>45</v>
      </c>
      <c r="L10" s="608"/>
      <c r="M10" s="63"/>
      <c r="N10" s="608"/>
      <c r="O10" s="63"/>
      <c r="P10" s="608"/>
      <c r="Q10" s="63"/>
      <c r="R10" s="63">
        <f>Table4[[#This Row],[Initial Acres]]+Table4[[#This Row],[Day 2 
Acres]]+Table4[[#This Row],[Day 3
Acres]]+Table4[[#This Row],[Day 4
Acres]]+Table4[[#This Row],[Day 5 
Acres]]</f>
        <v>91</v>
      </c>
      <c r="S10" s="27" t="str">
        <f>IF($R10&lt;=0, " ",IF($R10&lt;=0.25, "A",IF($R10&lt;10, "B",IF($R10&lt;100, "C", IF($R10&lt;300, "D",IF($R10&lt;1000, "E",IF($R10&lt;5000,"F",IF($R10&gt;=5000, "G"))))))))</f>
        <v>C</v>
      </c>
      <c r="T10" s="27" t="s">
        <v>525</v>
      </c>
      <c r="U10" s="27" t="s">
        <v>508</v>
      </c>
      <c r="V10" s="27"/>
      <c r="W10" s="27" t="s">
        <v>107</v>
      </c>
      <c r="X10" s="27" t="s">
        <v>107</v>
      </c>
      <c r="Y10" s="609" t="s">
        <v>531</v>
      </c>
      <c r="Z10" s="610"/>
      <c r="AA10" s="51"/>
      <c r="AB10" s="114" t="s">
        <v>217</v>
      </c>
      <c r="AC10" s="110">
        <f>COUNTIFS($E$4:$E$143, $AB10,$B$4:$B$143,"Y")</f>
        <v>4</v>
      </c>
      <c r="AD10" s="553">
        <f>COUNTIF($E$4:$E$143, $AB10)</f>
        <v>6</v>
      </c>
      <c r="AE10" s="568">
        <f>SUMIFS($R$4:$R$144,$E$4:$E$144,$AB10)</f>
        <v>1320</v>
      </c>
      <c r="AF10" s="553" t="e" cm="1">
        <f t="array" ref="AF10">SUM(IF($AB10=$E$4:$E$144, 1/(COUNTIF($AK$4:$AO$145,$AK$4:$AO$145)),""))</f>
        <v>#N/A</v>
      </c>
      <c r="AG10" s="553">
        <f>COUNTIFS($E$4:$E$144,$AB10,$H$4:$H$144,"&lt;&gt;")+COUNTIFS($E$4:$E$144,$AB10,$J$4:$J$144,"&lt;&gt;")+COUNTIFS($E$4:$E$144,$AB10,$L$4:$L$144,"&lt;&gt;")+COUNTIFS($E$4:$E$144,$AB10,$N$4:$N$144,"&lt;&gt;")+COUNTIFS($E$4:$E$144,$AB10,$P$4:$P$144,"&lt;&gt;")</f>
        <v>7</v>
      </c>
      <c r="AH10" s="553">
        <f>COUNTIFS($E$4:$E$143, $AB10,$B$4:$B$143,"Y",$W$4:$W$143,"y")</f>
        <v>4</v>
      </c>
      <c r="AI10" s="572">
        <f>SUMIFS($R$4:$R$144,$E$4:$E$144,$AB10,$W$4:$W$144,"Y")</f>
        <v>1320</v>
      </c>
      <c r="AK10" s="557">
        <f t="shared" si="0"/>
        <v>45032</v>
      </c>
      <c r="AL10" s="321">
        <f t="shared" si="1"/>
        <v>45046</v>
      </c>
      <c r="AM10" s="321" t="str">
        <f t="shared" si="2"/>
        <v xml:space="preserve"> </v>
      </c>
      <c r="AN10" s="321" t="str">
        <f t="shared" si="3"/>
        <v xml:space="preserve"> </v>
      </c>
      <c r="AO10" s="558" t="str">
        <f t="shared" si="4"/>
        <v xml:space="preserve"> </v>
      </c>
      <c r="AR10" s="6">
        <v>18</v>
      </c>
    </row>
    <row r="11" spans="1:47" ht="14" thickTop="1" thickBot="1" x14ac:dyDescent="0.3">
      <c r="A11" s="607" t="s">
        <v>532</v>
      </c>
      <c r="B11" s="27" t="s">
        <v>43</v>
      </c>
      <c r="C11" s="27" t="s">
        <v>533</v>
      </c>
      <c r="D11" s="27">
        <v>200156</v>
      </c>
      <c r="E11" s="27" t="s">
        <v>52</v>
      </c>
      <c r="F11" s="27" t="s">
        <v>143</v>
      </c>
      <c r="G11" s="27" t="s">
        <v>6</v>
      </c>
      <c r="H11" s="608">
        <v>45222</v>
      </c>
      <c r="I11" s="63">
        <v>10</v>
      </c>
      <c r="J11" s="608"/>
      <c r="K11" s="63"/>
      <c r="L11" s="608"/>
      <c r="M11" s="63"/>
      <c r="N11" s="608"/>
      <c r="O11" s="63"/>
      <c r="P11" s="608"/>
      <c r="Q11" s="63"/>
      <c r="R11" s="63">
        <f>Table4[[#This Row],[Initial Acres]]+Table4[[#This Row],[Day 2 
Acres]]+Table4[[#This Row],[Day 3
Acres]]+Table4[[#This Row],[Day 4
Acres]]+Table4[[#This Row],[Day 5 
Acres]]</f>
        <v>10</v>
      </c>
      <c r="S11" s="27" t="str">
        <f>IF($R11&lt;=0, " ",IF($R11&lt;=0.25, "A",IF($R11&lt;10, "B",IF($R11&lt;100, "C", IF($R11&lt;300, "D",IF($R11&lt;1000, "E",IF($R11&lt;5000,"F",IF($R11&gt;=5000, "G"))))))))</f>
        <v>C</v>
      </c>
      <c r="T11" s="27" t="s">
        <v>507</v>
      </c>
      <c r="U11" s="27" t="s">
        <v>508</v>
      </c>
      <c r="V11" s="27"/>
      <c r="W11" s="27" t="s">
        <v>107</v>
      </c>
      <c r="X11" s="27" t="s">
        <v>107</v>
      </c>
      <c r="Y11" s="27"/>
      <c r="Z11" s="610"/>
      <c r="AA11" s="51"/>
      <c r="AB11" s="279" t="s">
        <v>181</v>
      </c>
      <c r="AC11" s="111">
        <f>SUM(AC8:AC10)</f>
        <v>25</v>
      </c>
      <c r="AD11" s="111">
        <f t="shared" ref="AD11" si="5">SUM(AD8:AD10)</f>
        <v>83</v>
      </c>
      <c r="AE11" s="569">
        <f>SUM(AE8:AE10)</f>
        <v>4237.5</v>
      </c>
      <c r="AF11" s="111" cm="1">
        <f t="array" ref="AF11">SUM(IF(AK4:AO144&lt;&gt;"",1/COUNTIF(AK4:AO144,AK4:AO144),0))</f>
        <v>47.000000000000917</v>
      </c>
      <c r="AG11" s="111">
        <f>COUNTA(H4:H144,J4:J144,L4:L144,N4:N144,P4:P144)</f>
        <v>133</v>
      </c>
      <c r="AH11" s="548">
        <f>SUM(AH8:AH10)</f>
        <v>24</v>
      </c>
      <c r="AI11" s="569">
        <f>SUM(AI8:AI10)</f>
        <v>4229.5</v>
      </c>
      <c r="AK11" s="557">
        <f t="shared" si="0"/>
        <v>45222</v>
      </c>
      <c r="AL11" s="321" t="str">
        <f t="shared" si="1"/>
        <v xml:space="preserve"> </v>
      </c>
      <c r="AM11" s="321" t="str">
        <f t="shared" si="2"/>
        <v xml:space="preserve"> </v>
      </c>
      <c r="AN11" s="321" t="str">
        <f t="shared" si="3"/>
        <v xml:space="preserve"> </v>
      </c>
      <c r="AO11" s="558" t="str">
        <f t="shared" si="4"/>
        <v xml:space="preserve"> </v>
      </c>
      <c r="AR11" s="6">
        <v>18</v>
      </c>
    </row>
    <row r="12" spans="1:47" ht="13.5" thickBot="1" x14ac:dyDescent="0.3">
      <c r="A12" s="607" t="s">
        <v>534</v>
      </c>
      <c r="B12" s="27" t="s">
        <v>107</v>
      </c>
      <c r="C12" s="27" t="s">
        <v>535</v>
      </c>
      <c r="D12" s="27">
        <v>200169</v>
      </c>
      <c r="E12" s="27" t="s">
        <v>52</v>
      </c>
      <c r="F12" s="27" t="s">
        <v>143</v>
      </c>
      <c r="G12" s="27" t="s">
        <v>506</v>
      </c>
      <c r="H12" s="608">
        <v>45043</v>
      </c>
      <c r="I12" s="63">
        <v>25</v>
      </c>
      <c r="J12" s="608"/>
      <c r="K12" s="63"/>
      <c r="L12" s="608"/>
      <c r="M12" s="63"/>
      <c r="N12" s="608"/>
      <c r="O12" s="63"/>
      <c r="P12" s="608"/>
      <c r="Q12" s="63"/>
      <c r="R12" s="63">
        <f>Table4[[#This Row],[Initial Acres]]+Table4[[#This Row],[Day 2 
Acres]]+Table4[[#This Row],[Day 3
Acres]]+Table4[[#This Row],[Day 4
Acres]]+Table4[[#This Row],[Day 5 
Acres]]</f>
        <v>25</v>
      </c>
      <c r="S12" s="27" t="str">
        <f>IF($R12&lt;=0, " ",IF($R12&lt;=0.25, "A",IF($R12&lt;10, "B",IF($R12&lt;100, "C", IF($R12&lt;300, "D",IF($R12&lt;1000, "E",IF($R12&lt;5000,"F",IF($R12&gt;=5000, "G"))))))))</f>
        <v>C</v>
      </c>
      <c r="T12" s="27" t="s">
        <v>525</v>
      </c>
      <c r="U12" s="27" t="s">
        <v>508</v>
      </c>
      <c r="V12" s="27"/>
      <c r="W12" s="27" t="s">
        <v>107</v>
      </c>
      <c r="X12" s="27" t="s">
        <v>107</v>
      </c>
      <c r="Y12" s="27"/>
      <c r="Z12" s="610"/>
      <c r="AA12" s="51"/>
      <c r="AB12" s="51"/>
      <c r="AC12" s="51"/>
      <c r="AD12" s="51"/>
      <c r="AE12" s="51"/>
      <c r="AF12" s="51"/>
      <c r="AG12" s="51"/>
      <c r="AH12" s="92"/>
      <c r="AI12" s="45"/>
      <c r="AK12" s="557">
        <f t="shared" si="0"/>
        <v>45043</v>
      </c>
      <c r="AL12" s="321" t="str">
        <f t="shared" si="1"/>
        <v xml:space="preserve"> </v>
      </c>
      <c r="AM12" s="321" t="str">
        <f t="shared" si="2"/>
        <v xml:space="preserve"> </v>
      </c>
      <c r="AN12" s="321" t="str">
        <f t="shared" si="3"/>
        <v xml:space="preserve"> </v>
      </c>
      <c r="AO12" s="558" t="str">
        <f t="shared" si="4"/>
        <v xml:space="preserve"> </v>
      </c>
      <c r="AR12" s="6">
        <v>18</v>
      </c>
    </row>
    <row r="13" spans="1:47" ht="16" thickBot="1" x14ac:dyDescent="0.3">
      <c r="A13" s="607" t="s">
        <v>536</v>
      </c>
      <c r="B13" s="27" t="s">
        <v>107</v>
      </c>
      <c r="C13" s="27" t="s">
        <v>1</v>
      </c>
      <c r="D13" s="27">
        <v>200170</v>
      </c>
      <c r="E13" s="27" t="s">
        <v>52</v>
      </c>
      <c r="F13" s="27" t="s">
        <v>143</v>
      </c>
      <c r="G13" s="27" t="s">
        <v>506</v>
      </c>
      <c r="H13" s="608">
        <v>45044</v>
      </c>
      <c r="I13" s="63">
        <v>100</v>
      </c>
      <c r="J13" s="608"/>
      <c r="K13" s="63"/>
      <c r="L13" s="608"/>
      <c r="M13" s="63"/>
      <c r="N13" s="608"/>
      <c r="O13" s="63"/>
      <c r="P13" s="608"/>
      <c r="Q13" s="63"/>
      <c r="R13" s="63">
        <f>Table4[[#This Row],[Initial Acres]]+Table4[[#This Row],[Day 2 
Acres]]+Table4[[#This Row],[Day 3
Acres]]+Table4[[#This Row],[Day 4
Acres]]+Table4[[#This Row],[Day 5 
Acres]]</f>
        <v>100</v>
      </c>
      <c r="S13" s="27" t="str">
        <f>IF($R13&lt;=0, " ",IF($R13&lt;=0.25, "A",IF($R13&lt;10, "B",IF($R13&lt;100, "C", IF($R13&lt;300, "D",IF($R13&lt;1000, "E",IF($R13&lt;5000,"F",IF($R13&gt;=5000, "G"))))))))</f>
        <v>D</v>
      </c>
      <c r="T13" s="27" t="s">
        <v>525</v>
      </c>
      <c r="U13" s="27" t="s">
        <v>537</v>
      </c>
      <c r="V13" s="27"/>
      <c r="W13" s="27" t="s">
        <v>107</v>
      </c>
      <c r="X13" s="27" t="s">
        <v>107</v>
      </c>
      <c r="Y13" s="27"/>
      <c r="Z13" s="610"/>
      <c r="AA13" s="51"/>
      <c r="AB13" s="744" t="s">
        <v>538</v>
      </c>
      <c r="AC13" s="745"/>
      <c r="AD13" s="745"/>
      <c r="AE13" s="745"/>
      <c r="AF13" s="745"/>
      <c r="AG13" s="745"/>
      <c r="AH13" s="745"/>
      <c r="AI13" s="746"/>
      <c r="AK13" s="557">
        <f t="shared" si="0"/>
        <v>45044</v>
      </c>
      <c r="AL13" s="321" t="str">
        <f t="shared" si="1"/>
        <v xml:space="preserve"> </v>
      </c>
      <c r="AM13" s="321" t="str">
        <f t="shared" si="2"/>
        <v xml:space="preserve"> </v>
      </c>
      <c r="AN13" s="321" t="str">
        <f t="shared" si="3"/>
        <v xml:space="preserve"> </v>
      </c>
      <c r="AO13" s="558" t="str">
        <f t="shared" si="4"/>
        <v xml:space="preserve"> </v>
      </c>
      <c r="AR13" s="6">
        <v>18</v>
      </c>
    </row>
    <row r="14" spans="1:47" ht="13" x14ac:dyDescent="0.25">
      <c r="A14" s="607" t="s">
        <v>539</v>
      </c>
      <c r="B14" s="27" t="s">
        <v>107</v>
      </c>
      <c r="C14" s="27" t="s">
        <v>540</v>
      </c>
      <c r="D14" s="27">
        <v>200173</v>
      </c>
      <c r="E14" s="27" t="s">
        <v>52</v>
      </c>
      <c r="F14" s="27" t="s">
        <v>41</v>
      </c>
      <c r="G14" s="27" t="s">
        <v>506</v>
      </c>
      <c r="H14" s="608">
        <v>45043</v>
      </c>
      <c r="I14" s="63">
        <v>30</v>
      </c>
      <c r="J14" s="608"/>
      <c r="K14" s="63"/>
      <c r="L14" s="608"/>
      <c r="M14" s="63"/>
      <c r="N14" s="608"/>
      <c r="O14" s="63"/>
      <c r="P14" s="608"/>
      <c r="Q14" s="63"/>
      <c r="R14" s="63">
        <f>Table4[[#This Row],[Initial Acres]]+Table4[[#This Row],[Day 2 
Acres]]+Table4[[#This Row],[Day 3
Acres]]+Table4[[#This Row],[Day 4
Acres]]+Table4[[#This Row],[Day 5 
Acres]]</f>
        <v>30</v>
      </c>
      <c r="S14" s="27" t="str">
        <f>IF($R14&lt;=0, " ",IF($R14&lt;=0.25, "A",IF($R14&lt;10, "B",IF($R14&lt;100, "C", IF($R14&lt;300, "D",IF($R14&lt;1000, "E",IF($R14&lt;5000,"F",IF($R14&gt;=5000, "G"))))))))</f>
        <v>C</v>
      </c>
      <c r="T14" s="27" t="s">
        <v>525</v>
      </c>
      <c r="U14" s="27" t="s">
        <v>508</v>
      </c>
      <c r="V14" s="27"/>
      <c r="W14" s="27" t="s">
        <v>107</v>
      </c>
      <c r="X14" s="27" t="s">
        <v>107</v>
      </c>
      <c r="Y14" s="27"/>
      <c r="Z14" s="610"/>
      <c r="AA14" s="51"/>
      <c r="AB14" s="864" t="s">
        <v>166</v>
      </c>
      <c r="AC14" s="848" t="s">
        <v>514</v>
      </c>
      <c r="AD14" s="867" t="s">
        <v>515</v>
      </c>
      <c r="AE14" s="869" t="s">
        <v>516</v>
      </c>
      <c r="AF14" s="871" t="s">
        <v>517</v>
      </c>
      <c r="AG14" s="848" t="s">
        <v>518</v>
      </c>
      <c r="AH14" s="848" t="s">
        <v>519</v>
      </c>
      <c r="AI14" s="850" t="s">
        <v>520</v>
      </c>
      <c r="AK14" s="557">
        <f t="shared" si="0"/>
        <v>45043</v>
      </c>
      <c r="AL14" s="321" t="str">
        <f t="shared" si="1"/>
        <v xml:space="preserve"> </v>
      </c>
      <c r="AM14" s="321" t="str">
        <f t="shared" si="2"/>
        <v xml:space="preserve"> </v>
      </c>
      <c r="AN14" s="321" t="str">
        <f t="shared" si="3"/>
        <v xml:space="preserve"> </v>
      </c>
      <c r="AO14" s="558" t="str">
        <f t="shared" si="4"/>
        <v xml:space="preserve"> </v>
      </c>
      <c r="AR14" s="6">
        <v>18</v>
      </c>
    </row>
    <row r="15" spans="1:47" ht="13" x14ac:dyDescent="0.25">
      <c r="A15" s="607" t="s">
        <v>541</v>
      </c>
      <c r="B15" s="27" t="s">
        <v>107</v>
      </c>
      <c r="C15" s="27" t="s">
        <v>542</v>
      </c>
      <c r="D15" s="27">
        <v>200174</v>
      </c>
      <c r="E15" s="27" t="s">
        <v>217</v>
      </c>
      <c r="F15" s="27" t="s">
        <v>217</v>
      </c>
      <c r="G15" s="27" t="s">
        <v>529</v>
      </c>
      <c r="H15" s="608">
        <v>45044</v>
      </c>
      <c r="I15" s="63">
        <v>33</v>
      </c>
      <c r="J15" s="608"/>
      <c r="K15" s="63"/>
      <c r="L15" s="608"/>
      <c r="M15" s="63"/>
      <c r="N15" s="608"/>
      <c r="O15" s="63"/>
      <c r="P15" s="608"/>
      <c r="Q15" s="63"/>
      <c r="R15" s="63">
        <f>Table4[[#This Row],[Initial Acres]]+Table4[[#This Row],[Day 2 
Acres]]+Table4[[#This Row],[Day 3
Acres]]+Table4[[#This Row],[Day 4
Acres]]+Table4[[#This Row],[Day 5 
Acres]]</f>
        <v>33</v>
      </c>
      <c r="S15" s="27" t="str">
        <f>IF($R15&lt;=0, " ",IF($R15&lt;=0.25, "A",IF($R15&lt;10, "B",IF($R15&lt;100, "C", IF($R15&lt;300, "D",IF($R15&lt;1000, "E",IF($R15&lt;5000,"F",IF($R15&gt;=5000, "G"))))))))</f>
        <v>C</v>
      </c>
      <c r="T15" s="27" t="s">
        <v>525</v>
      </c>
      <c r="U15" s="27" t="s">
        <v>508</v>
      </c>
      <c r="V15" s="27"/>
      <c r="W15" s="27" t="s">
        <v>107</v>
      </c>
      <c r="X15" s="27" t="s">
        <v>107</v>
      </c>
      <c r="Y15" s="27"/>
      <c r="Z15" s="610"/>
      <c r="AA15" s="51"/>
      <c r="AB15" s="865"/>
      <c r="AC15" s="849"/>
      <c r="AD15" s="868"/>
      <c r="AE15" s="870"/>
      <c r="AF15" s="872"/>
      <c r="AG15" s="849"/>
      <c r="AH15" s="849"/>
      <c r="AI15" s="851"/>
      <c r="AK15" s="557">
        <f t="shared" si="0"/>
        <v>45044</v>
      </c>
      <c r="AL15" s="321" t="str">
        <f t="shared" si="1"/>
        <v xml:space="preserve"> </v>
      </c>
      <c r="AM15" s="321" t="str">
        <f t="shared" si="2"/>
        <v xml:space="preserve"> </v>
      </c>
      <c r="AN15" s="321" t="str">
        <f t="shared" si="3"/>
        <v xml:space="preserve"> </v>
      </c>
      <c r="AO15" s="558" t="str">
        <f t="shared" si="4"/>
        <v xml:space="preserve"> </v>
      </c>
      <c r="AR15" s="6" t="str">
        <v/>
      </c>
    </row>
    <row r="16" spans="1:47" ht="13.5" thickBot="1" x14ac:dyDescent="0.3">
      <c r="A16" s="607" t="s">
        <v>539</v>
      </c>
      <c r="B16" s="27" t="s">
        <v>43</v>
      </c>
      <c r="C16" s="27" t="s">
        <v>543</v>
      </c>
      <c r="D16" s="27">
        <v>200184</v>
      </c>
      <c r="E16" s="27" t="s">
        <v>52</v>
      </c>
      <c r="F16" s="27" t="s">
        <v>41</v>
      </c>
      <c r="G16" s="27" t="s">
        <v>506</v>
      </c>
      <c r="H16" s="608">
        <v>45044</v>
      </c>
      <c r="I16" s="63">
        <v>33</v>
      </c>
      <c r="J16" s="608"/>
      <c r="K16" s="63"/>
      <c r="L16" s="608"/>
      <c r="M16" s="63"/>
      <c r="N16" s="608"/>
      <c r="O16" s="63"/>
      <c r="P16" s="608"/>
      <c r="Q16" s="63"/>
      <c r="R16" s="63">
        <f>Table4[[#This Row],[Initial Acres]]+Table4[[#This Row],[Day 2 
Acres]]+Table4[[#This Row],[Day 3
Acres]]+Table4[[#This Row],[Day 4
Acres]]+Table4[[#This Row],[Day 5 
Acres]]</f>
        <v>33</v>
      </c>
      <c r="S16" s="27" t="str">
        <f>IF($R16&lt;=0, " ",IF($R16&lt;=0.25, "A",IF($R16&lt;10, "B",IF($R16&lt;100, "C", IF($R16&lt;300, "D",IF($R16&lt;1000, "E",IF($R16&lt;5000,"F",IF($R16&gt;=5000, "G"))))))))</f>
        <v>C</v>
      </c>
      <c r="T16" s="27" t="s">
        <v>525</v>
      </c>
      <c r="U16" s="27" t="s">
        <v>508</v>
      </c>
      <c r="V16" s="27"/>
      <c r="W16" s="27" t="s">
        <v>107</v>
      </c>
      <c r="X16" s="27" t="s">
        <v>107</v>
      </c>
      <c r="Y16" s="27"/>
      <c r="Z16" s="610" t="s">
        <v>544</v>
      </c>
      <c r="AA16" s="51"/>
      <c r="AB16" s="866"/>
      <c r="AC16" s="849"/>
      <c r="AD16" s="868"/>
      <c r="AE16" s="870"/>
      <c r="AF16" s="872"/>
      <c r="AG16" s="849"/>
      <c r="AH16" s="849"/>
      <c r="AI16" s="851"/>
      <c r="AK16" s="557">
        <f t="shared" si="0"/>
        <v>45044</v>
      </c>
      <c r="AL16" s="321" t="str">
        <f t="shared" si="1"/>
        <v xml:space="preserve"> </v>
      </c>
      <c r="AM16" s="321" t="str">
        <f t="shared" si="2"/>
        <v xml:space="preserve"> </v>
      </c>
      <c r="AN16" s="321" t="str">
        <f t="shared" si="3"/>
        <v xml:space="preserve"> </v>
      </c>
      <c r="AO16" s="558" t="str">
        <f t="shared" si="4"/>
        <v xml:space="preserve"> </v>
      </c>
      <c r="AR16" s="6">
        <v>18</v>
      </c>
    </row>
    <row r="17" spans="1:44" ht="13" x14ac:dyDescent="0.25">
      <c r="A17" s="607" t="s">
        <v>545</v>
      </c>
      <c r="B17" s="27" t="s">
        <v>107</v>
      </c>
      <c r="C17" s="27">
        <v>11</v>
      </c>
      <c r="D17" s="27">
        <v>200185</v>
      </c>
      <c r="E17" s="27" t="s">
        <v>52</v>
      </c>
      <c r="F17" s="27" t="s">
        <v>41</v>
      </c>
      <c r="G17" s="27" t="s">
        <v>506</v>
      </c>
      <c r="H17" s="608">
        <v>45044</v>
      </c>
      <c r="I17" s="63">
        <v>11</v>
      </c>
      <c r="J17" s="608"/>
      <c r="K17" s="63"/>
      <c r="L17" s="608"/>
      <c r="M17" s="63"/>
      <c r="N17" s="608"/>
      <c r="O17" s="63"/>
      <c r="P17" s="608"/>
      <c r="Q17" s="63"/>
      <c r="R17" s="63">
        <f>Table4[[#This Row],[Initial Acres]]+Table4[[#This Row],[Day 2 
Acres]]+Table4[[#This Row],[Day 3
Acres]]+Table4[[#This Row],[Day 4
Acres]]+Table4[[#This Row],[Day 5 
Acres]]</f>
        <v>11</v>
      </c>
      <c r="S17" s="27" t="str">
        <f>IF($R17&lt;=0, " ",IF($R17&lt;=0.25, "A",IF($R17&lt;10, "B",IF($R17&lt;100, "C", IF($R17&lt;300, "D",IF($R17&lt;1000, "E",IF($R17&lt;5000,"F",IF($R17&gt;=5000, "G"))))))))</f>
        <v>C</v>
      </c>
      <c r="T17" s="27" t="s">
        <v>525</v>
      </c>
      <c r="U17" s="27" t="s">
        <v>508</v>
      </c>
      <c r="V17" s="27"/>
      <c r="W17" s="27" t="s">
        <v>107</v>
      </c>
      <c r="X17" s="27" t="s">
        <v>107</v>
      </c>
      <c r="Y17" s="27"/>
      <c r="Z17" s="610" t="s">
        <v>546</v>
      </c>
      <c r="AA17" s="51"/>
      <c r="AB17" s="292" t="s">
        <v>65</v>
      </c>
      <c r="AC17" s="551">
        <f t="shared" ref="AC17:AC24" si="6">COUNTIFS($F$4:$F$143,$AB17,$B$4:$B$143,"Y")</f>
        <v>4</v>
      </c>
      <c r="AD17" s="552">
        <f t="shared" ref="AD17:AD24" si="7">COUNTIFS($F$4:$F$143,$AB17,$W$4:$W$143, "Y")</f>
        <v>14</v>
      </c>
      <c r="AE17" s="566">
        <f t="shared" ref="AE17:AE24" si="8">SUMIFS($R$4:$R$144, $F$4:$F$144, $AB17)</f>
        <v>891</v>
      </c>
      <c r="AF17" s="552" t="e" cm="1">
        <f t="array" ref="AF17">SUM(IF($AB17=$F$4:$F$144, 1/(COUNTIF($AK$4:$AO$145,$AK$4:$AO$145)),""))</f>
        <v>#N/A</v>
      </c>
      <c r="AG17" s="552">
        <f t="shared" ref="AG17:AG24" si="9">COUNTIFS($F$4:$F$144,$AB17,$H$4:$H$144,"&lt;&gt;")+COUNTIFS($F$4:$F$144,$AB17,$J$4:$J$144,"&lt;&gt;")+COUNTIFS($F$4:$F$144,$AB17,$L$4:$L$144,"&lt;&gt;")+COUNTIFS($F$4:$F$144,$AB17,$N$4:$N$144,"&lt;&gt;")+COUNTIFS($F$4:$F$144,$AB17,$P$4:$P$144,"&lt;&gt;")</f>
        <v>25</v>
      </c>
      <c r="AH17" s="552">
        <f t="shared" ref="AH17:AH24" si="10">COUNTIFS($F$4:$F$143,$AB17,$W$4:$W$143, "Y",$B$4:$B$143,"Y")</f>
        <v>3</v>
      </c>
      <c r="AI17" s="570">
        <f t="shared" ref="AI17:AI24" si="11">SUMIFS($R$4:$R$144, $F$4:$F$144, $AB17,$W$4:$W$144,"Y")</f>
        <v>890</v>
      </c>
      <c r="AK17" s="557">
        <f t="shared" si="0"/>
        <v>45044</v>
      </c>
      <c r="AL17" s="321" t="str">
        <f t="shared" si="1"/>
        <v xml:space="preserve"> </v>
      </c>
      <c r="AM17" s="321" t="str">
        <f t="shared" si="2"/>
        <v xml:space="preserve"> </v>
      </c>
      <c r="AN17" s="321" t="str">
        <f t="shared" si="3"/>
        <v xml:space="preserve"> </v>
      </c>
      <c r="AO17" s="558" t="str">
        <f t="shared" si="4"/>
        <v xml:space="preserve"> </v>
      </c>
      <c r="AR17" s="6">
        <v>18</v>
      </c>
    </row>
    <row r="18" spans="1:44" ht="13" x14ac:dyDescent="0.25">
      <c r="A18" s="607" t="s">
        <v>547</v>
      </c>
      <c r="B18" s="27" t="s">
        <v>107</v>
      </c>
      <c r="C18" s="27" t="s">
        <v>548</v>
      </c>
      <c r="D18" s="27">
        <v>200187</v>
      </c>
      <c r="E18" s="27" t="s">
        <v>52</v>
      </c>
      <c r="F18" s="27" t="s">
        <v>65</v>
      </c>
      <c r="G18" s="27" t="s">
        <v>529</v>
      </c>
      <c r="H18" s="608">
        <v>45046</v>
      </c>
      <c r="I18" s="63">
        <v>250</v>
      </c>
      <c r="J18" s="608"/>
      <c r="K18" s="63"/>
      <c r="L18" s="608"/>
      <c r="M18" s="63"/>
      <c r="N18" s="608"/>
      <c r="O18" s="63"/>
      <c r="P18" s="608"/>
      <c r="Q18" s="63"/>
      <c r="R18" s="63">
        <f>Table4[[#This Row],[Initial Acres]]+Table4[[#This Row],[Day 2 
Acres]]+Table4[[#This Row],[Day 3
Acres]]+Table4[[#This Row],[Day 4
Acres]]+Table4[[#This Row],[Day 5 
Acres]]</f>
        <v>250</v>
      </c>
      <c r="S18" s="27" t="str">
        <f>IF($R18&lt;=0, " ",IF($R18&lt;=0.25, "A",IF($R18&lt;10, "B",IF($R18&lt;100, "C", IF($R18&lt;300, "D",IF($R18&lt;1000, "E",IF($R18&lt;5000,"F",IF($R18&gt;=5000, "G"))))))))</f>
        <v>D</v>
      </c>
      <c r="T18" s="27" t="s">
        <v>525</v>
      </c>
      <c r="U18" s="27" t="s">
        <v>537</v>
      </c>
      <c r="V18" s="27"/>
      <c r="W18" s="27" t="s">
        <v>107</v>
      </c>
      <c r="X18" s="27" t="s">
        <v>107</v>
      </c>
      <c r="Y18" s="27"/>
      <c r="Z18" s="610"/>
      <c r="AA18" s="51"/>
      <c r="AB18" s="113" t="s">
        <v>50</v>
      </c>
      <c r="AC18" s="109">
        <f t="shared" si="6"/>
        <v>2</v>
      </c>
      <c r="AD18" s="550">
        <f t="shared" si="7"/>
        <v>13</v>
      </c>
      <c r="AE18" s="567">
        <f t="shared" si="8"/>
        <v>410</v>
      </c>
      <c r="AF18" s="550" t="e" cm="1">
        <f t="array" ref="AF18">SUM(IF($AB18=$F$4:$F$144, 1/(COUNTIF($AK$4:$AO$145,$AK$4:$AO$145)),""))</f>
        <v>#N/A</v>
      </c>
      <c r="AG18" s="550">
        <f t="shared" si="9"/>
        <v>23</v>
      </c>
      <c r="AH18" s="550">
        <f t="shared" si="10"/>
        <v>2</v>
      </c>
      <c r="AI18" s="571">
        <f t="shared" si="11"/>
        <v>410</v>
      </c>
      <c r="AK18" s="557">
        <f t="shared" si="0"/>
        <v>45046</v>
      </c>
      <c r="AL18" s="321" t="str">
        <f t="shared" si="1"/>
        <v xml:space="preserve"> </v>
      </c>
      <c r="AM18" s="321" t="str">
        <f t="shared" si="2"/>
        <v xml:space="preserve"> </v>
      </c>
      <c r="AN18" s="321" t="str">
        <f t="shared" si="3"/>
        <v xml:space="preserve"> </v>
      </c>
      <c r="AO18" s="558" t="str">
        <f t="shared" si="4"/>
        <v xml:space="preserve"> </v>
      </c>
      <c r="AR18" s="6">
        <v>18</v>
      </c>
    </row>
    <row r="19" spans="1:44" ht="13" x14ac:dyDescent="0.25">
      <c r="A19" s="607" t="s">
        <v>549</v>
      </c>
      <c r="B19" s="27" t="s">
        <v>107</v>
      </c>
      <c r="C19" s="27" t="s">
        <v>550</v>
      </c>
      <c r="D19" s="27">
        <v>200188</v>
      </c>
      <c r="E19" s="27" t="s">
        <v>52</v>
      </c>
      <c r="F19" s="27" t="s">
        <v>143</v>
      </c>
      <c r="G19" s="27" t="s">
        <v>506</v>
      </c>
      <c r="H19" s="608">
        <v>45046</v>
      </c>
      <c r="I19" s="63">
        <v>200</v>
      </c>
      <c r="J19" s="608"/>
      <c r="K19" s="63"/>
      <c r="L19" s="608"/>
      <c r="M19" s="63"/>
      <c r="N19" s="608"/>
      <c r="O19" s="63"/>
      <c r="P19" s="608"/>
      <c r="Q19" s="63"/>
      <c r="R19" s="63">
        <f>Table4[[#This Row],[Initial Acres]]+Table4[[#This Row],[Day 2 
Acres]]+Table4[[#This Row],[Day 3
Acres]]+Table4[[#This Row],[Day 4
Acres]]+Table4[[#This Row],[Day 5 
Acres]]</f>
        <v>200</v>
      </c>
      <c r="S19" s="27" t="str">
        <f>IF($R19&lt;=0, " ",IF($R19&lt;=0.25, "A",IF($R19&lt;10, "B",IF($R19&lt;100, "C", IF($R19&lt;300, "D",IF($R19&lt;1000, "E",IF($R19&lt;5000,"F",IF($R19&gt;=5000, "G"))))))))</f>
        <v>D</v>
      </c>
      <c r="T19" s="27" t="s">
        <v>525</v>
      </c>
      <c r="U19" s="27" t="s">
        <v>537</v>
      </c>
      <c r="V19" s="27"/>
      <c r="W19" s="27" t="s">
        <v>107</v>
      </c>
      <c r="X19" s="27" t="s">
        <v>107</v>
      </c>
      <c r="Y19" s="27"/>
      <c r="Z19" s="610"/>
      <c r="AA19" s="51"/>
      <c r="AB19" s="292" t="s">
        <v>41</v>
      </c>
      <c r="AC19" s="109">
        <f t="shared" si="6"/>
        <v>3</v>
      </c>
      <c r="AD19" s="550">
        <f t="shared" si="7"/>
        <v>15</v>
      </c>
      <c r="AE19" s="567">
        <f t="shared" si="8"/>
        <v>450</v>
      </c>
      <c r="AF19" s="550" t="e" cm="1">
        <f t="array" ref="AF19">SUM(IF($AB19=$F$4:$F$144, 1/(COUNTIF($AK$4:$AO$145,$AK$4:$AO$145)),""))</f>
        <v>#N/A</v>
      </c>
      <c r="AG19" s="550">
        <f t="shared" si="9"/>
        <v>26</v>
      </c>
      <c r="AH19" s="550">
        <f t="shared" si="10"/>
        <v>3</v>
      </c>
      <c r="AI19" s="571">
        <f t="shared" si="11"/>
        <v>443</v>
      </c>
      <c r="AK19" s="557">
        <f t="shared" si="0"/>
        <v>45046</v>
      </c>
      <c r="AL19" s="321" t="str">
        <f t="shared" si="1"/>
        <v xml:space="preserve"> </v>
      </c>
      <c r="AM19" s="321" t="str">
        <f t="shared" si="2"/>
        <v xml:space="preserve"> </v>
      </c>
      <c r="AN19" s="321" t="str">
        <f t="shared" si="3"/>
        <v xml:space="preserve"> </v>
      </c>
      <c r="AO19" s="558" t="str">
        <f t="shared" si="4"/>
        <v xml:space="preserve"> </v>
      </c>
      <c r="AR19" s="6">
        <v>18</v>
      </c>
    </row>
    <row r="20" spans="1:44" ht="13" x14ac:dyDescent="0.25">
      <c r="A20" s="607" t="s">
        <v>534</v>
      </c>
      <c r="B20" s="27" t="s">
        <v>43</v>
      </c>
      <c r="C20" s="27" t="s">
        <v>551</v>
      </c>
      <c r="D20" s="27">
        <v>200197</v>
      </c>
      <c r="E20" s="27" t="s">
        <v>52</v>
      </c>
      <c r="F20" s="27" t="s">
        <v>143</v>
      </c>
      <c r="G20" s="27" t="s">
        <v>506</v>
      </c>
      <c r="H20" s="608">
        <v>45048</v>
      </c>
      <c r="I20" s="63">
        <v>22</v>
      </c>
      <c r="J20" s="608"/>
      <c r="K20" s="63"/>
      <c r="L20" s="608"/>
      <c r="M20" s="63"/>
      <c r="N20" s="608"/>
      <c r="O20" s="63"/>
      <c r="P20" s="608"/>
      <c r="Q20" s="63"/>
      <c r="R20" s="63">
        <f>Table4[[#This Row],[Initial Acres]]+Table4[[#This Row],[Day 2 
Acres]]+Table4[[#This Row],[Day 3
Acres]]+Table4[[#This Row],[Day 4
Acres]]+Table4[[#This Row],[Day 5 
Acres]]</f>
        <v>22</v>
      </c>
      <c r="S20" s="27" t="str">
        <f>IF($R20&lt;=0, " ",IF($R20&lt;=0.25, "A",IF($R20&lt;10, "B",IF($R20&lt;100, "C", IF($R20&lt;300, "D",IF($R20&lt;1000, "E",IF($R20&lt;5000,"F",IF($R20&gt;=5000, "G"))))))))</f>
        <v>C</v>
      </c>
      <c r="T20" s="27" t="s">
        <v>525</v>
      </c>
      <c r="U20" s="27" t="s">
        <v>508</v>
      </c>
      <c r="V20" s="27"/>
      <c r="W20" s="27" t="s">
        <v>107</v>
      </c>
      <c r="X20" s="27" t="s">
        <v>107</v>
      </c>
      <c r="Y20" s="27"/>
      <c r="Z20" s="610"/>
      <c r="AA20" s="51"/>
      <c r="AB20" s="113" t="s">
        <v>56</v>
      </c>
      <c r="AC20" s="109">
        <f t="shared" si="6"/>
        <v>3</v>
      </c>
      <c r="AD20" s="550">
        <f t="shared" si="7"/>
        <v>6</v>
      </c>
      <c r="AE20" s="567">
        <f t="shared" si="8"/>
        <v>224</v>
      </c>
      <c r="AF20" s="550" t="e" cm="1">
        <f t="array" ref="AF20">SUM(IF($AB20=$F$4:$F$144, 1/(COUNTIF($AK$4:$AO$145,$AK$4:$AO$145)),""))</f>
        <v>#N/A</v>
      </c>
      <c r="AG20" s="550">
        <f t="shared" si="9"/>
        <v>9</v>
      </c>
      <c r="AH20" s="550">
        <f t="shared" si="10"/>
        <v>3</v>
      </c>
      <c r="AI20" s="571">
        <f t="shared" si="11"/>
        <v>224</v>
      </c>
      <c r="AK20" s="557">
        <f t="shared" si="0"/>
        <v>45048</v>
      </c>
      <c r="AL20" s="321" t="str">
        <f t="shared" si="1"/>
        <v xml:space="preserve"> </v>
      </c>
      <c r="AM20" s="321" t="str">
        <f t="shared" si="2"/>
        <v xml:space="preserve"> </v>
      </c>
      <c r="AN20" s="321" t="str">
        <f t="shared" si="3"/>
        <v xml:space="preserve"> </v>
      </c>
      <c r="AO20" s="558" t="str">
        <f t="shared" si="4"/>
        <v xml:space="preserve"> </v>
      </c>
      <c r="AR20" s="6">
        <v>18</v>
      </c>
    </row>
    <row r="21" spans="1:44" ht="13" x14ac:dyDescent="0.25">
      <c r="A21" s="607" t="s">
        <v>552</v>
      </c>
      <c r="B21" s="27" t="s">
        <v>107</v>
      </c>
      <c r="C21" s="27" t="s">
        <v>553</v>
      </c>
      <c r="D21" s="27">
        <v>200200</v>
      </c>
      <c r="E21" s="27" t="s">
        <v>52</v>
      </c>
      <c r="F21" s="27" t="s">
        <v>56</v>
      </c>
      <c r="G21" s="27" t="s">
        <v>506</v>
      </c>
      <c r="H21" s="608">
        <v>45048</v>
      </c>
      <c r="I21" s="63">
        <v>1</v>
      </c>
      <c r="J21" s="608"/>
      <c r="K21" s="63"/>
      <c r="L21" s="608"/>
      <c r="M21" s="63"/>
      <c r="N21" s="608"/>
      <c r="O21" s="63"/>
      <c r="P21" s="608"/>
      <c r="Q21" s="63"/>
      <c r="R21" s="63">
        <f>Table4[[#This Row],[Initial Acres]]+Table4[[#This Row],[Day 2 
Acres]]+Table4[[#This Row],[Day 3
Acres]]+Table4[[#This Row],[Day 4
Acres]]+Table4[[#This Row],[Day 5 
Acres]]</f>
        <v>1</v>
      </c>
      <c r="S21" s="27" t="str">
        <f>IF($R21&lt;=0, " ",IF($R21&lt;=0.25, "A",IF($R21&lt;10, "B",IF($R21&lt;100, "C", IF($R21&lt;300, "D",IF($R21&lt;1000, "E",IF($R21&lt;5000,"F",IF($R21&gt;=5000, "G"))))))))</f>
        <v>B</v>
      </c>
      <c r="T21" s="27" t="s">
        <v>512</v>
      </c>
      <c r="U21" s="27" t="s">
        <v>508</v>
      </c>
      <c r="V21" s="27" t="s">
        <v>554</v>
      </c>
      <c r="W21" s="27" t="s">
        <v>107</v>
      </c>
      <c r="X21" s="27" t="s">
        <v>107</v>
      </c>
      <c r="Y21" s="27"/>
      <c r="Z21" s="610"/>
      <c r="AA21" s="51"/>
      <c r="AB21" s="292" t="s">
        <v>143</v>
      </c>
      <c r="AC21" s="109">
        <f t="shared" si="6"/>
        <v>8</v>
      </c>
      <c r="AD21" s="550">
        <f t="shared" si="7"/>
        <v>26</v>
      </c>
      <c r="AE21" s="567">
        <f t="shared" si="8"/>
        <v>941</v>
      </c>
      <c r="AF21" s="550" t="e" cm="1">
        <f t="array" ref="AF21">SUM(IF($AB21=$F$4:$F$144, 1/(COUNTIF($AK$4:$AO$145,$AK$4:$AO$145)),""))</f>
        <v>#N/A</v>
      </c>
      <c r="AG21" s="550">
        <f t="shared" si="9"/>
        <v>42</v>
      </c>
      <c r="AH21" s="550">
        <f t="shared" si="10"/>
        <v>8</v>
      </c>
      <c r="AI21" s="571">
        <f t="shared" si="11"/>
        <v>941</v>
      </c>
      <c r="AK21" s="557">
        <f t="shared" si="0"/>
        <v>45048</v>
      </c>
      <c r="AL21" s="321" t="str">
        <f t="shared" si="1"/>
        <v xml:space="preserve"> </v>
      </c>
      <c r="AM21" s="321" t="str">
        <f t="shared" si="2"/>
        <v xml:space="preserve"> </v>
      </c>
      <c r="AN21" s="321" t="str">
        <f t="shared" si="3"/>
        <v xml:space="preserve"> </v>
      </c>
      <c r="AO21" s="558" t="str">
        <f t="shared" si="4"/>
        <v xml:space="preserve"> </v>
      </c>
      <c r="AR21" s="6">
        <v>18</v>
      </c>
    </row>
    <row r="22" spans="1:44" ht="13" x14ac:dyDescent="0.25">
      <c r="A22" s="607" t="s">
        <v>555</v>
      </c>
      <c r="B22" s="27" t="s">
        <v>107</v>
      </c>
      <c r="C22" s="27" t="s">
        <v>556</v>
      </c>
      <c r="D22" s="27">
        <v>200201</v>
      </c>
      <c r="E22" s="27" t="s">
        <v>52</v>
      </c>
      <c r="F22" s="27" t="s">
        <v>56</v>
      </c>
      <c r="G22" s="27" t="s">
        <v>506</v>
      </c>
      <c r="H22" s="608">
        <v>45049</v>
      </c>
      <c r="I22" s="63">
        <v>4</v>
      </c>
      <c r="J22" s="608">
        <v>45186</v>
      </c>
      <c r="K22" s="63">
        <v>50</v>
      </c>
      <c r="L22" s="608">
        <v>45187</v>
      </c>
      <c r="M22" s="63">
        <v>81</v>
      </c>
      <c r="N22" s="608">
        <v>45188</v>
      </c>
      <c r="O22" s="63">
        <v>60</v>
      </c>
      <c r="P22" s="608"/>
      <c r="Q22" s="63"/>
      <c r="R22" s="63">
        <f>Table4[[#This Row],[Initial Acres]]+Table4[[#This Row],[Day 2 
Acres]]+Table4[[#This Row],[Day 3
Acres]]+Table4[[#This Row],[Day 4
Acres]]+Table4[[#This Row],[Day 5 
Acres]]</f>
        <v>195</v>
      </c>
      <c r="S22" s="27" t="str">
        <f>IF($R22&lt;=0, " ",IF($R22&lt;=0.25, "A",IF($R22&lt;10, "B",IF($R22&lt;100, "C", IF($R22&lt;300, "D",IF($R22&lt;1000, "E",IF($R22&lt;5000,"F",IF($R22&gt;=5000, "G"))))))))</f>
        <v>D</v>
      </c>
      <c r="T22" s="27" t="s">
        <v>525</v>
      </c>
      <c r="U22" s="27" t="s">
        <v>508</v>
      </c>
      <c r="V22" s="27"/>
      <c r="W22" s="27" t="s">
        <v>107</v>
      </c>
      <c r="X22" s="27" t="s">
        <v>107</v>
      </c>
      <c r="Y22" s="27" t="s">
        <v>557</v>
      </c>
      <c r="Z22" s="610"/>
      <c r="AA22" s="51"/>
      <c r="AB22" s="113" t="s">
        <v>358</v>
      </c>
      <c r="AC22" s="109">
        <f t="shared" si="6"/>
        <v>0</v>
      </c>
      <c r="AD22" s="550">
        <f t="shared" si="7"/>
        <v>0</v>
      </c>
      <c r="AE22" s="567">
        <f t="shared" si="8"/>
        <v>0</v>
      </c>
      <c r="AF22" s="550" t="e" cm="1">
        <f t="array" ref="AF22">SUM(IF($AB22=$F$4:$F$144, 1/(COUNTIF($AK$4:$AO$145,$AK$4:$AO$145)),""))</f>
        <v>#N/A</v>
      </c>
      <c r="AG22" s="550">
        <f t="shared" si="9"/>
        <v>0</v>
      </c>
      <c r="AH22" s="550">
        <f t="shared" si="10"/>
        <v>0</v>
      </c>
      <c r="AI22" s="571">
        <f t="shared" si="11"/>
        <v>0</v>
      </c>
      <c r="AK22" s="557">
        <f t="shared" si="0"/>
        <v>45049</v>
      </c>
      <c r="AL22" s="321">
        <f t="shared" si="1"/>
        <v>45186</v>
      </c>
      <c r="AM22" s="321">
        <f t="shared" si="2"/>
        <v>45187</v>
      </c>
      <c r="AN22" s="321">
        <f t="shared" si="3"/>
        <v>45188</v>
      </c>
      <c r="AO22" s="558" t="str">
        <f t="shared" si="4"/>
        <v xml:space="preserve"> </v>
      </c>
      <c r="AR22" s="6">
        <v>18</v>
      </c>
    </row>
    <row r="23" spans="1:44" ht="13" x14ac:dyDescent="0.25">
      <c r="A23" s="607" t="s">
        <v>558</v>
      </c>
      <c r="B23" s="27" t="s">
        <v>43</v>
      </c>
      <c r="C23" s="27" t="s">
        <v>559</v>
      </c>
      <c r="D23" s="27">
        <v>200213</v>
      </c>
      <c r="E23" s="27" t="s">
        <v>217</v>
      </c>
      <c r="F23" s="27" t="s">
        <v>217</v>
      </c>
      <c r="G23" s="27" t="s">
        <v>529</v>
      </c>
      <c r="H23" s="608">
        <v>45049</v>
      </c>
      <c r="I23" s="63">
        <v>248</v>
      </c>
      <c r="J23" s="608"/>
      <c r="K23" s="63"/>
      <c r="L23" s="608"/>
      <c r="M23" s="63"/>
      <c r="N23" s="608"/>
      <c r="O23" s="63"/>
      <c r="P23" s="608"/>
      <c r="Q23" s="63"/>
      <c r="R23" s="63">
        <f>Table4[[#This Row],[Initial Acres]]+Table4[[#This Row],[Day 2 
Acres]]+Table4[[#This Row],[Day 3
Acres]]+Table4[[#This Row],[Day 4
Acres]]+Table4[[#This Row],[Day 5 
Acres]]</f>
        <v>248</v>
      </c>
      <c r="S23" s="27" t="str">
        <f>IF($R23&lt;=0, " ",IF($R23&lt;=0.25, "A",IF($R23&lt;10, "B",IF($R23&lt;100, "C", IF($R23&lt;300, "D",IF($R23&lt;1000, "E",IF($R23&lt;5000,"F",IF($R23&gt;=5000, "G"))))))))</f>
        <v>D</v>
      </c>
      <c r="T23" s="27" t="s">
        <v>525</v>
      </c>
      <c r="U23" s="27" t="s">
        <v>537</v>
      </c>
      <c r="V23" s="27"/>
      <c r="W23" s="27" t="s">
        <v>107</v>
      </c>
      <c r="X23" s="27" t="s">
        <v>107</v>
      </c>
      <c r="Y23" s="27"/>
      <c r="Z23" s="610"/>
      <c r="AA23" s="51"/>
      <c r="AB23" s="292" t="s">
        <v>75</v>
      </c>
      <c r="AC23" s="109">
        <f t="shared" si="6"/>
        <v>1</v>
      </c>
      <c r="AD23" s="550">
        <f t="shared" si="7"/>
        <v>1</v>
      </c>
      <c r="AE23" s="567">
        <f t="shared" si="8"/>
        <v>1.5</v>
      </c>
      <c r="AF23" s="550" t="e" cm="1">
        <f t="array" ref="AF23">SUM(IF($AB23=$F$4:$F$144, 1/(COUNTIF($AK$4:$AO$145,$AK$4:$AO$145)),""))</f>
        <v>#N/A</v>
      </c>
      <c r="AG23" s="550">
        <f t="shared" si="9"/>
        <v>1</v>
      </c>
      <c r="AH23" s="550">
        <f t="shared" si="10"/>
        <v>1</v>
      </c>
      <c r="AI23" s="571">
        <f t="shared" si="11"/>
        <v>1.5</v>
      </c>
      <c r="AK23" s="557">
        <f t="shared" si="0"/>
        <v>45049</v>
      </c>
      <c r="AL23" s="321" t="str">
        <f t="shared" si="1"/>
        <v xml:space="preserve"> </v>
      </c>
      <c r="AM23" s="321" t="str">
        <f t="shared" si="2"/>
        <v xml:space="preserve"> </v>
      </c>
      <c r="AN23" s="321" t="str">
        <f t="shared" si="3"/>
        <v xml:space="preserve"> </v>
      </c>
      <c r="AO23" s="558" t="str">
        <f t="shared" si="4"/>
        <v xml:space="preserve"> </v>
      </c>
      <c r="AR23" s="6" t="str">
        <v/>
      </c>
    </row>
    <row r="24" spans="1:44" ht="13.5" thickBot="1" x14ac:dyDescent="0.3">
      <c r="A24" s="607" t="s">
        <v>560</v>
      </c>
      <c r="B24" s="27" t="s">
        <v>107</v>
      </c>
      <c r="C24" s="27">
        <v>80</v>
      </c>
      <c r="D24" s="27">
        <v>200220</v>
      </c>
      <c r="E24" s="27" t="s">
        <v>52</v>
      </c>
      <c r="F24" s="27" t="s">
        <v>65</v>
      </c>
      <c r="G24" s="27" t="s">
        <v>506</v>
      </c>
      <c r="H24" s="608">
        <v>45050</v>
      </c>
      <c r="I24" s="63">
        <v>220</v>
      </c>
      <c r="J24" s="608"/>
      <c r="K24" s="63"/>
      <c r="L24" s="608"/>
      <c r="M24" s="63"/>
      <c r="N24" s="608"/>
      <c r="O24" s="63"/>
      <c r="P24" s="608"/>
      <c r="Q24" s="63"/>
      <c r="R24" s="63">
        <f>Table4[[#This Row],[Initial Acres]]+Table4[[#This Row],[Day 2 
Acres]]+Table4[[#This Row],[Day 3
Acres]]+Table4[[#This Row],[Day 4
Acres]]+Table4[[#This Row],[Day 5 
Acres]]</f>
        <v>220</v>
      </c>
      <c r="S24" s="27" t="str">
        <f>IF($R24&lt;=0, " ",IF($R24&lt;=0.25, "A",IF($R24&lt;10, "B",IF($R24&lt;100, "C", IF($R24&lt;300, "D",IF($R24&lt;1000, "E",IF($R24&lt;5000,"F",IF($R24&gt;=5000, "G"))))))))</f>
        <v>D</v>
      </c>
      <c r="T24" s="27" t="s">
        <v>525</v>
      </c>
      <c r="U24" s="27" t="s">
        <v>508</v>
      </c>
      <c r="V24" s="27"/>
      <c r="W24" s="27" t="s">
        <v>107</v>
      </c>
      <c r="X24" s="27" t="s">
        <v>107</v>
      </c>
      <c r="Y24" s="27"/>
      <c r="Z24" s="610"/>
      <c r="AA24" s="51"/>
      <c r="AB24" s="114" t="s">
        <v>217</v>
      </c>
      <c r="AC24" s="110">
        <f t="shared" si="6"/>
        <v>4</v>
      </c>
      <c r="AD24" s="553">
        <f t="shared" si="7"/>
        <v>6</v>
      </c>
      <c r="AE24" s="568">
        <f t="shared" si="8"/>
        <v>1320</v>
      </c>
      <c r="AF24" s="553" t="e" cm="1">
        <f t="array" ref="AF24">SUM(IF($AB24=$F$4:$F$144, 1/(COUNTIF($AK$4:$AO$145,$AK$4:$AO$145)),""))</f>
        <v>#N/A</v>
      </c>
      <c r="AG24" s="553">
        <f t="shared" si="9"/>
        <v>7</v>
      </c>
      <c r="AH24" s="553">
        <f t="shared" si="10"/>
        <v>4</v>
      </c>
      <c r="AI24" s="572">
        <f t="shared" si="11"/>
        <v>1320</v>
      </c>
      <c r="AK24" s="557">
        <f t="shared" si="0"/>
        <v>45050</v>
      </c>
      <c r="AL24" s="321" t="str">
        <f t="shared" si="1"/>
        <v xml:space="preserve"> </v>
      </c>
      <c r="AM24" s="321" t="str">
        <f t="shared" si="2"/>
        <v xml:space="preserve"> </v>
      </c>
      <c r="AN24" s="321" t="str">
        <f t="shared" si="3"/>
        <v xml:space="preserve"> </v>
      </c>
      <c r="AO24" s="558" t="str">
        <f t="shared" si="4"/>
        <v xml:space="preserve"> </v>
      </c>
      <c r="AR24" s="6">
        <v>18</v>
      </c>
    </row>
    <row r="25" spans="1:44" ht="14" thickTop="1" thickBot="1" x14ac:dyDescent="0.3">
      <c r="A25" s="607" t="s">
        <v>549</v>
      </c>
      <c r="B25" s="27" t="s">
        <v>43</v>
      </c>
      <c r="C25" s="27" t="s">
        <v>561</v>
      </c>
      <c r="D25" s="27">
        <v>200221</v>
      </c>
      <c r="E25" s="27" t="s">
        <v>52</v>
      </c>
      <c r="F25" s="27" t="s">
        <v>143</v>
      </c>
      <c r="G25" s="27" t="s">
        <v>506</v>
      </c>
      <c r="H25" s="608">
        <v>45050</v>
      </c>
      <c r="I25" s="63">
        <v>15</v>
      </c>
      <c r="J25" s="608">
        <v>45058</v>
      </c>
      <c r="K25" s="63">
        <v>22</v>
      </c>
      <c r="L25" s="608"/>
      <c r="M25" s="63"/>
      <c r="N25" s="608"/>
      <c r="O25" s="63"/>
      <c r="P25" s="608"/>
      <c r="Q25" s="63"/>
      <c r="R25" s="63">
        <f>Table4[[#This Row],[Initial Acres]]+Table4[[#This Row],[Day 2 
Acres]]+Table4[[#This Row],[Day 3
Acres]]+Table4[[#This Row],[Day 4
Acres]]+Table4[[#This Row],[Day 5 
Acres]]</f>
        <v>37</v>
      </c>
      <c r="S25" s="27" t="str">
        <f>IF($R25&lt;=0, " ",IF($R25&lt;=0.25, "A",IF($R25&lt;10, "B",IF($R25&lt;100, "C", IF($R25&lt;300, "D",IF($R25&lt;1000, "E",IF($R25&lt;5000,"F",IF($R25&gt;=5000, "G"))))))))</f>
        <v>C</v>
      </c>
      <c r="T25" s="27" t="s">
        <v>525</v>
      </c>
      <c r="U25" s="27" t="s">
        <v>508</v>
      </c>
      <c r="V25" s="27"/>
      <c r="W25" s="27" t="s">
        <v>107</v>
      </c>
      <c r="X25" s="27" t="s">
        <v>107</v>
      </c>
      <c r="Y25" s="27"/>
      <c r="Z25" s="610"/>
      <c r="AA25" s="51"/>
      <c r="AB25" s="279" t="s">
        <v>181</v>
      </c>
      <c r="AC25" s="111">
        <f t="shared" ref="AC25:AI25" si="12">SUM(AC17:AC24)</f>
        <v>25</v>
      </c>
      <c r="AD25" s="111">
        <f t="shared" si="12"/>
        <v>81</v>
      </c>
      <c r="AE25" s="573">
        <f>SUM(AE17:AE24)</f>
        <v>4237.5</v>
      </c>
      <c r="AF25" s="549" cm="1">
        <f t="array" ref="AF25">SUM(IF(AK4:AO144&lt;&gt;"",1/COUNTIF(AK4:AO144,AK4:AO144),0))</f>
        <v>47.000000000000917</v>
      </c>
      <c r="AG25" s="111">
        <f>COUNTA(H4:H144,J4:J144,L4:L144,N4:N144,P4:P144)</f>
        <v>133</v>
      </c>
      <c r="AH25" s="548">
        <f t="shared" ref="AH25" si="13">SUM(AH17:AH24)</f>
        <v>24</v>
      </c>
      <c r="AI25" s="569">
        <f t="shared" si="12"/>
        <v>4229.5</v>
      </c>
      <c r="AK25" s="557">
        <f t="shared" si="0"/>
        <v>45050</v>
      </c>
      <c r="AL25" s="321">
        <f t="shared" si="1"/>
        <v>45058</v>
      </c>
      <c r="AM25" s="321" t="str">
        <f t="shared" si="2"/>
        <v xml:space="preserve"> </v>
      </c>
      <c r="AN25" s="321" t="str">
        <f t="shared" si="3"/>
        <v xml:space="preserve"> </v>
      </c>
      <c r="AO25" s="558" t="str">
        <f t="shared" si="4"/>
        <v xml:space="preserve"> </v>
      </c>
      <c r="AR25" s="6">
        <v>18</v>
      </c>
    </row>
    <row r="26" spans="1:44" ht="13.5" thickBot="1" x14ac:dyDescent="0.3">
      <c r="A26" s="607" t="s">
        <v>562</v>
      </c>
      <c r="B26" s="27" t="s">
        <v>107</v>
      </c>
      <c r="C26" s="27" t="s">
        <v>563</v>
      </c>
      <c r="D26" s="27">
        <v>200227</v>
      </c>
      <c r="E26" s="27" t="s">
        <v>52</v>
      </c>
      <c r="F26" s="27" t="s">
        <v>143</v>
      </c>
      <c r="G26" s="27" t="s">
        <v>506</v>
      </c>
      <c r="H26" s="608">
        <v>45084</v>
      </c>
      <c r="I26" s="63">
        <v>5</v>
      </c>
      <c r="J26" s="608"/>
      <c r="K26" s="63"/>
      <c r="L26" s="608"/>
      <c r="M26" s="63"/>
      <c r="N26" s="608"/>
      <c r="O26" s="63"/>
      <c r="P26" s="608"/>
      <c r="Q26" s="63"/>
      <c r="R26" s="63">
        <f>Table4[[#This Row],[Initial Acres]]+Table4[[#This Row],[Day 2 
Acres]]+Table4[[#This Row],[Day 3
Acres]]+Table4[[#This Row],[Day 4
Acres]]+Table4[[#This Row],[Day 5 
Acres]]</f>
        <v>5</v>
      </c>
      <c r="S26" s="27" t="str">
        <f>IF($R26&lt;=0, " ",IF($R26&lt;=0.25, "A",IF($R26&lt;10, "B",IF($R26&lt;100, "C", IF($R26&lt;300, "D",IF($R26&lt;1000, "E",IF($R26&lt;5000,"F",IF($R26&gt;=5000, "G"))))))))</f>
        <v>B</v>
      </c>
      <c r="T26" s="27" t="s">
        <v>525</v>
      </c>
      <c r="U26" s="27" t="s">
        <v>508</v>
      </c>
      <c r="V26" s="27"/>
      <c r="W26" s="27" t="s">
        <v>107</v>
      </c>
      <c r="X26" s="27" t="s">
        <v>564</v>
      </c>
      <c r="Y26" s="27"/>
      <c r="Z26" s="610"/>
      <c r="AA26" s="51"/>
      <c r="AB26" s="51"/>
      <c r="AC26" s="51"/>
      <c r="AD26" s="51"/>
      <c r="AE26" s="51"/>
      <c r="AF26" s="51"/>
      <c r="AG26" s="51"/>
      <c r="AH26" s="51"/>
      <c r="AI26" s="45"/>
      <c r="AK26" s="557">
        <f t="shared" si="0"/>
        <v>45084</v>
      </c>
      <c r="AL26" s="321" t="str">
        <f t="shared" si="1"/>
        <v xml:space="preserve"> </v>
      </c>
      <c r="AM26" s="321" t="str">
        <f t="shared" si="2"/>
        <v xml:space="preserve"> </v>
      </c>
      <c r="AN26" s="321" t="str">
        <f t="shared" si="3"/>
        <v xml:space="preserve"> </v>
      </c>
      <c r="AO26" s="558" t="str">
        <f t="shared" si="4"/>
        <v xml:space="preserve"> </v>
      </c>
      <c r="AR26" s="6">
        <v>18</v>
      </c>
    </row>
    <row r="27" spans="1:44" ht="15.5" x14ac:dyDescent="0.25">
      <c r="A27" s="607" t="s">
        <v>565</v>
      </c>
      <c r="B27" s="27" t="s">
        <v>43</v>
      </c>
      <c r="C27" s="27" t="s">
        <v>566</v>
      </c>
      <c r="D27" s="27">
        <v>200234</v>
      </c>
      <c r="E27" s="27" t="s">
        <v>52</v>
      </c>
      <c r="F27" s="27" t="s">
        <v>65</v>
      </c>
      <c r="G27" s="27" t="s">
        <v>506</v>
      </c>
      <c r="H27" s="608">
        <v>45233</v>
      </c>
      <c r="I27" s="63">
        <v>40</v>
      </c>
      <c r="J27" s="608">
        <v>45236</v>
      </c>
      <c r="K27" s="63">
        <v>40</v>
      </c>
      <c r="L27" s="608">
        <v>45238</v>
      </c>
      <c r="M27" s="63"/>
      <c r="N27" s="608"/>
      <c r="O27" s="63"/>
      <c r="P27" s="608"/>
      <c r="Q27" s="63"/>
      <c r="R27" s="63">
        <f>Table4[[#This Row],[Initial Acres]]+Table4[[#This Row],[Day 2 
Acres]]+Table4[[#This Row],[Day 3
Acres]]+Table4[[#This Row],[Day 4
Acres]]+Table4[[#This Row],[Day 5 
Acres]]</f>
        <v>80</v>
      </c>
      <c r="S27" s="27" t="str">
        <f>IF($R27&lt;=0, " ",IF($R27&lt;=0.25, "A",IF($R27&lt;10, "B",IF($R27&lt;100, "C", IF($R27&lt;300, "D",IF($R27&lt;1000, "E",IF($R27&lt;5000,"F",IF($R27&gt;=5000, "G"))))))))</f>
        <v>C</v>
      </c>
      <c r="T27" s="27" t="s">
        <v>512</v>
      </c>
      <c r="U27" s="27" t="s">
        <v>508</v>
      </c>
      <c r="V27" s="27"/>
      <c r="W27" s="27" t="s">
        <v>107</v>
      </c>
      <c r="X27" s="27" t="s">
        <v>107</v>
      </c>
      <c r="Y27" s="637" t="s">
        <v>567</v>
      </c>
      <c r="Z27" s="615" t="s">
        <v>568</v>
      </c>
      <c r="AA27" s="51"/>
      <c r="AB27" s="744" t="s">
        <v>569</v>
      </c>
      <c r="AC27" s="745"/>
      <c r="AD27" s="745"/>
      <c r="AE27" s="745"/>
      <c r="AF27" s="745"/>
      <c r="AG27" s="745"/>
      <c r="AH27" s="745"/>
      <c r="AI27" s="746"/>
      <c r="AK27" s="557">
        <f t="shared" si="0"/>
        <v>45233</v>
      </c>
      <c r="AL27" s="321">
        <f t="shared" si="1"/>
        <v>45236</v>
      </c>
      <c r="AM27" s="321">
        <f t="shared" si="2"/>
        <v>45238</v>
      </c>
      <c r="AN27" s="321" t="str">
        <f t="shared" si="3"/>
        <v xml:space="preserve"> </v>
      </c>
      <c r="AO27" s="558" t="str">
        <f t="shared" si="4"/>
        <v xml:space="preserve"> </v>
      </c>
      <c r="AR27" s="6">
        <v>18</v>
      </c>
    </row>
    <row r="28" spans="1:44" ht="15.5" x14ac:dyDescent="0.25">
      <c r="A28" s="607" t="s">
        <v>570</v>
      </c>
      <c r="B28" s="27" t="s">
        <v>107</v>
      </c>
      <c r="C28" s="27" t="s">
        <v>571</v>
      </c>
      <c r="D28" s="27">
        <v>200238</v>
      </c>
      <c r="E28" s="27" t="s">
        <v>52</v>
      </c>
      <c r="F28" s="27" t="s">
        <v>143</v>
      </c>
      <c r="G28" s="27" t="s">
        <v>506</v>
      </c>
      <c r="H28" s="608">
        <v>45061</v>
      </c>
      <c r="I28" s="63">
        <v>17</v>
      </c>
      <c r="J28" s="608"/>
      <c r="K28" s="63"/>
      <c r="L28" s="608"/>
      <c r="M28" s="63"/>
      <c r="N28" s="608"/>
      <c r="O28" s="63"/>
      <c r="P28" s="608"/>
      <c r="Q28" s="63"/>
      <c r="R28" s="63">
        <f>Table4[[#This Row],[Initial Acres]]+Table4[[#This Row],[Day 2 
Acres]]+Table4[[#This Row],[Day 3
Acres]]+Table4[[#This Row],[Day 4
Acres]]+Table4[[#This Row],[Day 5 
Acres]]</f>
        <v>17</v>
      </c>
      <c r="S28" s="27" t="str">
        <f>IF($R28&lt;=0, " ",IF($R28&lt;=0.25, "A",IF($R28&lt;10, "B",IF($R28&lt;100, "C", IF($R28&lt;300, "D",IF($R28&lt;1000, "E",IF($R28&lt;5000,"F",IF($R28&gt;=5000, "G"))))))))</f>
        <v>C</v>
      </c>
      <c r="T28" s="27" t="s">
        <v>525</v>
      </c>
      <c r="U28" s="27" t="s">
        <v>508</v>
      </c>
      <c r="V28" s="27"/>
      <c r="W28" s="27" t="s">
        <v>107</v>
      </c>
      <c r="X28" s="27" t="s">
        <v>107</v>
      </c>
      <c r="Y28" s="27"/>
      <c r="Z28" s="610" t="s">
        <v>572</v>
      </c>
      <c r="AA28" s="51"/>
      <c r="AB28" s="744" t="s">
        <v>573</v>
      </c>
      <c r="AC28" s="745"/>
      <c r="AD28" s="745"/>
      <c r="AE28" s="746"/>
      <c r="AF28" s="744" t="s">
        <v>574</v>
      </c>
      <c r="AG28" s="745"/>
      <c r="AH28" s="745"/>
      <c r="AI28" s="746"/>
      <c r="AK28" s="557">
        <f t="shared" si="0"/>
        <v>45061</v>
      </c>
      <c r="AL28" s="321" t="str">
        <f t="shared" si="1"/>
        <v xml:space="preserve"> </v>
      </c>
      <c r="AM28" s="321" t="str">
        <f t="shared" si="2"/>
        <v xml:space="preserve"> </v>
      </c>
      <c r="AN28" s="321" t="str">
        <f t="shared" si="3"/>
        <v xml:space="preserve"> </v>
      </c>
      <c r="AO28" s="558" t="str">
        <f t="shared" si="4"/>
        <v xml:space="preserve"> </v>
      </c>
      <c r="AR28" s="6">
        <v>18</v>
      </c>
    </row>
    <row r="29" spans="1:44" ht="13" x14ac:dyDescent="0.25">
      <c r="A29" s="607" t="s">
        <v>549</v>
      </c>
      <c r="B29" s="27" t="s">
        <v>43</v>
      </c>
      <c r="C29" s="27" t="s">
        <v>575</v>
      </c>
      <c r="D29" s="27">
        <v>200244</v>
      </c>
      <c r="E29" s="27" t="s">
        <v>52</v>
      </c>
      <c r="F29" s="27" t="s">
        <v>143</v>
      </c>
      <c r="G29" s="27" t="s">
        <v>506</v>
      </c>
      <c r="H29" s="608">
        <v>45195</v>
      </c>
      <c r="I29" s="63">
        <v>12</v>
      </c>
      <c r="J29" s="608"/>
      <c r="K29" s="63"/>
      <c r="L29" s="608"/>
      <c r="M29" s="63"/>
      <c r="N29" s="608"/>
      <c r="O29" s="63"/>
      <c r="P29" s="608"/>
      <c r="Q29" s="63"/>
      <c r="R29" s="63">
        <f>Table4[[#This Row],[Initial Acres]]+Table4[[#This Row],[Day 2 
Acres]]+Table4[[#This Row],[Day 3
Acres]]+Table4[[#This Row],[Day 4
Acres]]+Table4[[#This Row],[Day 5 
Acres]]</f>
        <v>12</v>
      </c>
      <c r="S29" s="27" t="str">
        <f>IF($R29&lt;=0, " ",IF($R29&lt;=0.25, "A",IF($R29&lt;10, "B",IF($R29&lt;100, "C", IF($R29&lt;300, "D",IF($R29&lt;1000, "E",IF($R29&lt;5000,"F",IF($R29&gt;=5000, "G"))))))))</f>
        <v>C</v>
      </c>
      <c r="T29" s="27" t="s">
        <v>525</v>
      </c>
      <c r="U29" s="27" t="s">
        <v>508</v>
      </c>
      <c r="V29" s="27"/>
      <c r="W29" s="27" t="s">
        <v>107</v>
      </c>
      <c r="X29" s="27" t="s">
        <v>107</v>
      </c>
      <c r="Y29" s="27"/>
      <c r="Z29" s="610" t="s">
        <v>576</v>
      </c>
      <c r="AA29" s="51"/>
      <c r="AB29" s="575"/>
      <c r="AC29" s="574" t="s">
        <v>577</v>
      </c>
      <c r="AD29" s="574" t="s">
        <v>578</v>
      </c>
      <c r="AE29" s="580" t="s">
        <v>579</v>
      </c>
      <c r="AF29" s="581"/>
      <c r="AG29" s="574" t="s">
        <v>580</v>
      </c>
      <c r="AH29" s="574" t="s">
        <v>578</v>
      </c>
      <c r="AI29" s="574" t="s">
        <v>579</v>
      </c>
      <c r="AK29" s="557">
        <f t="shared" si="0"/>
        <v>45195</v>
      </c>
      <c r="AL29" s="321" t="str">
        <f t="shared" si="1"/>
        <v xml:space="preserve"> </v>
      </c>
      <c r="AM29" s="321" t="str">
        <f t="shared" si="2"/>
        <v xml:space="preserve"> </v>
      </c>
      <c r="AN29" s="321" t="str">
        <f t="shared" si="3"/>
        <v xml:space="preserve"> </v>
      </c>
      <c r="AO29" s="558" t="str">
        <f t="shared" si="4"/>
        <v xml:space="preserve"> </v>
      </c>
      <c r="AR29" s="6">
        <v>18</v>
      </c>
    </row>
    <row r="30" spans="1:44" ht="13" x14ac:dyDescent="0.25">
      <c r="A30" s="607" t="s">
        <v>521</v>
      </c>
      <c r="B30" s="27" t="s">
        <v>43</v>
      </c>
      <c r="C30" s="27" t="s">
        <v>581</v>
      </c>
      <c r="D30" s="27">
        <v>200272</v>
      </c>
      <c r="E30" s="27" t="s">
        <v>52</v>
      </c>
      <c r="F30" s="27" t="s">
        <v>65</v>
      </c>
      <c r="G30" s="27" t="s">
        <v>506</v>
      </c>
      <c r="H30" s="608">
        <v>45190</v>
      </c>
      <c r="I30" s="63">
        <v>5</v>
      </c>
      <c r="J30" s="608"/>
      <c r="K30" s="63"/>
      <c r="L30" s="608"/>
      <c r="M30" s="63"/>
      <c r="N30" s="608"/>
      <c r="O30" s="63"/>
      <c r="P30" s="608"/>
      <c r="Q30" s="63"/>
      <c r="R30" s="63">
        <f>Table4[[#This Row],[Initial Acres]]+Table4[[#This Row],[Day 2 
Acres]]+Table4[[#This Row],[Day 3
Acres]]+Table4[[#This Row],[Day 4
Acres]]+Table4[[#This Row],[Day 5 
Acres]]</f>
        <v>5</v>
      </c>
      <c r="S30" s="27" t="str">
        <f>IF($R30&lt;=0, " ",IF($R30&lt;=0.25, "A",IF($R30&lt;10, "B",IF($R30&lt;100, "C", IF($R30&lt;300, "D",IF($R30&lt;1000, "E",IF($R30&lt;5000,"F",IF($R30&gt;=5000, "G"))))))))</f>
        <v>B</v>
      </c>
      <c r="T30" s="27" t="s">
        <v>512</v>
      </c>
      <c r="U30" s="27" t="s">
        <v>508</v>
      </c>
      <c r="V30" s="27"/>
      <c r="W30" s="27" t="s">
        <v>107</v>
      </c>
      <c r="X30" s="27" t="s">
        <v>107</v>
      </c>
      <c r="Y30" s="27"/>
      <c r="Z30" s="610" t="s">
        <v>582</v>
      </c>
      <c r="AA30" s="115"/>
      <c r="AB30" s="576" t="s">
        <v>52</v>
      </c>
      <c r="AC30" s="551">
        <f>COUNTIFS($E$4:$E$144,$AB30,$G$4:$G$144,AC$29,$W$4:$W$144,"Y",B4:B144,"Y")</f>
        <v>4</v>
      </c>
      <c r="AD30" s="552">
        <f>COUNTIFS($E$4:$E$144,$AB30,$G$4:$G$144,AD$29,$W$4:$W$144,"Y",B4:B144,"Y")</f>
        <v>12</v>
      </c>
      <c r="AE30" s="593">
        <f>COUNTIFS(G4:G144,AE29,E4:E144,AB30,B4:B144,"Y",W4:W144,"Y")</f>
        <v>3</v>
      </c>
      <c r="AF30" s="578" t="s">
        <v>65</v>
      </c>
      <c r="AG30" s="589">
        <f>COUNTIFS($F$4:$F$144,$AF30,$G$4:$G$144,AG$29,$W$4:$W$144,"Y",B4:B144,"Y")</f>
        <v>0</v>
      </c>
      <c r="AH30" s="552">
        <f>COUNTIFS($F$4:$F$144,$AF30,$G$4:$G$144,AH$29,$W$4:$W$144,"Y",B4:B144,"Y")</f>
        <v>1</v>
      </c>
      <c r="AI30" s="583">
        <f>COUNTIFS($F$4:$F$144,$AF30,$G$4:$G$144,AI$29,$W$4:$W$144,"Y",B4:B144,"Y")</f>
        <v>1</v>
      </c>
      <c r="AK30" s="557">
        <f t="shared" si="0"/>
        <v>45190</v>
      </c>
      <c r="AL30" s="321" t="str">
        <f t="shared" si="1"/>
        <v xml:space="preserve"> </v>
      </c>
      <c r="AM30" s="321" t="str">
        <f t="shared" si="2"/>
        <v xml:space="preserve"> </v>
      </c>
      <c r="AN30" s="321" t="str">
        <f t="shared" si="3"/>
        <v xml:space="preserve"> </v>
      </c>
      <c r="AO30" s="558" t="str">
        <f t="shared" si="4"/>
        <v xml:space="preserve"> </v>
      </c>
      <c r="AR30" s="6">
        <v>18</v>
      </c>
    </row>
    <row r="31" spans="1:44" ht="13" x14ac:dyDescent="0.25">
      <c r="A31" s="607" t="s">
        <v>510</v>
      </c>
      <c r="B31" s="27" t="s">
        <v>43</v>
      </c>
      <c r="C31" s="27" t="s">
        <v>583</v>
      </c>
      <c r="D31" s="27">
        <v>200314</v>
      </c>
      <c r="E31" s="27" t="s">
        <v>52</v>
      </c>
      <c r="F31" s="27" t="s">
        <v>41</v>
      </c>
      <c r="G31" s="27" t="s">
        <v>6</v>
      </c>
      <c r="H31" s="608">
        <v>45078</v>
      </c>
      <c r="I31" s="63">
        <v>3</v>
      </c>
      <c r="J31" s="608"/>
      <c r="K31" s="63"/>
      <c r="L31" s="608"/>
      <c r="M31" s="63"/>
      <c r="N31" s="608"/>
      <c r="O31" s="63"/>
      <c r="P31" s="608"/>
      <c r="Q31" s="63"/>
      <c r="R31" s="63">
        <f>Table4[[#This Row],[Initial Acres]]+Table4[[#This Row],[Day 2 
Acres]]+Table4[[#This Row],[Day 3
Acres]]+Table4[[#This Row],[Day 4
Acres]]+Table4[[#This Row],[Day 5 
Acres]]</f>
        <v>3</v>
      </c>
      <c r="S31" s="27" t="str">
        <f>IF($R31&lt;=0, " ",IF($R31&lt;=0.25, "A",IF($R31&lt;10, "B",IF($R31&lt;100, "C", IF($R31&lt;300, "D",IF($R31&lt;1000, "E",IF($R31&lt;5000,"F",IF($R31&gt;=5000, "G"))))))))</f>
        <v>B</v>
      </c>
      <c r="T31" s="27" t="s">
        <v>512</v>
      </c>
      <c r="U31" s="27" t="s">
        <v>508</v>
      </c>
      <c r="V31" s="27"/>
      <c r="W31" s="27" t="s">
        <v>107</v>
      </c>
      <c r="X31" s="27" t="s">
        <v>107</v>
      </c>
      <c r="Y31" s="27"/>
      <c r="Z31" s="610"/>
      <c r="AA31" s="6"/>
      <c r="AB31" s="113" t="s">
        <v>151</v>
      </c>
      <c r="AC31" s="109">
        <f>COUNTIFS($E$4:$E$144,$AB31,$G$4:$G$144,AC$29,$W$4:$W$144,"Y",B4:B144,"Y")</f>
        <v>1</v>
      </c>
      <c r="AD31" s="550">
        <f>COUNTIFS($E$4:$E$144,$AB31,$G$4:$G$144,AD$29,$W$4:$W$144,"Y",B4:B144,"Y")</f>
        <v>0</v>
      </c>
      <c r="AE31" s="594">
        <f>COUNTIFS($E$4:$E$144,$AB31,$G$4:$G$144,AE$29,$W$4:$W$144,"Y",B4:B144,"Y")</f>
        <v>0</v>
      </c>
      <c r="AF31" s="579" t="s">
        <v>50</v>
      </c>
      <c r="AG31" s="590">
        <f>COUNTIFS($F$4:$F$144,$AF31,$G$4:$G$144,AG$29,$W$4:$W$144,"Y",B4:B144,"Y")</f>
        <v>0</v>
      </c>
      <c r="AH31" s="550">
        <f>COUNTIFS($F$4:$F$144,$AF31,$G$4:$G$144,AH$29,$W$4:$W$144,"Y",B4:B144,"Y")</f>
        <v>0</v>
      </c>
      <c r="AI31" s="584">
        <f>COUNTIFS($F$4:$F$144,$AF31,$G$4:$G$144,AI$29,$W$4:$W$144,"Y",B4:B144,"Y")</f>
        <v>1</v>
      </c>
      <c r="AK31" s="557">
        <f t="shared" si="0"/>
        <v>45078</v>
      </c>
      <c r="AL31" s="321" t="str">
        <f t="shared" si="1"/>
        <v xml:space="preserve"> </v>
      </c>
      <c r="AM31" s="321" t="str">
        <f t="shared" si="2"/>
        <v xml:space="preserve"> </v>
      </c>
      <c r="AN31" s="321" t="str">
        <f t="shared" si="3"/>
        <v xml:space="preserve"> </v>
      </c>
      <c r="AO31" s="558" t="str">
        <f t="shared" si="4"/>
        <v xml:space="preserve"> </v>
      </c>
      <c r="AR31" s="6">
        <v>18</v>
      </c>
    </row>
    <row r="32" spans="1:44" ht="13" x14ac:dyDescent="0.25">
      <c r="A32" s="607" t="s">
        <v>510</v>
      </c>
      <c r="B32" s="27" t="s">
        <v>43</v>
      </c>
      <c r="C32" s="27" t="s">
        <v>584</v>
      </c>
      <c r="D32" s="27">
        <v>200315</v>
      </c>
      <c r="E32" s="27" t="s">
        <v>52</v>
      </c>
      <c r="F32" s="27" t="s">
        <v>41</v>
      </c>
      <c r="G32" s="27" t="s">
        <v>6</v>
      </c>
      <c r="H32" s="608">
        <v>45078</v>
      </c>
      <c r="I32" s="63">
        <v>2</v>
      </c>
      <c r="J32" s="608"/>
      <c r="K32" s="63"/>
      <c r="L32" s="608"/>
      <c r="M32" s="63"/>
      <c r="N32" s="608"/>
      <c r="O32" s="63"/>
      <c r="P32" s="608"/>
      <c r="Q32" s="63"/>
      <c r="R32" s="63">
        <f>Table4[[#This Row],[Initial Acres]]+Table4[[#This Row],[Day 2 
Acres]]+Table4[[#This Row],[Day 3
Acres]]+Table4[[#This Row],[Day 4
Acres]]+Table4[[#This Row],[Day 5 
Acres]]</f>
        <v>2</v>
      </c>
      <c r="S32" s="27" t="str">
        <f>IF($R32&lt;=0, " ",IF($R32&lt;=0.25, "A",IF($R32&lt;10, "B",IF($R32&lt;100, "C", IF($R32&lt;300, "D",IF($R32&lt;1000, "E",IF($R32&lt;5000,"F",IF($R32&gt;=5000, "G"))))))))</f>
        <v>B</v>
      </c>
      <c r="T32" s="27" t="s">
        <v>512</v>
      </c>
      <c r="U32" s="27" t="s">
        <v>508</v>
      </c>
      <c r="V32" s="27"/>
      <c r="W32" s="27" t="s">
        <v>107</v>
      </c>
      <c r="X32" s="27" t="s">
        <v>107</v>
      </c>
      <c r="Y32" s="27"/>
      <c r="Z32" s="610"/>
      <c r="AA32" s="6"/>
      <c r="AB32" s="577" t="s">
        <v>217</v>
      </c>
      <c r="AC32" s="110">
        <f>COUNTIFS($E$4:$E$144,$AB32,$G$4:$G$144,AC$29,$W$4:$W$144,"Y",B4:B144,"Y")</f>
        <v>1</v>
      </c>
      <c r="AD32" s="553">
        <f>COUNTIFS($E$4:$E$144,$AB32,$G$4:$G$144,AD$29,$W$4:$W$144,"Y",B4:B144,"Y")</f>
        <v>1</v>
      </c>
      <c r="AE32" s="595">
        <f>COUNTIFS($E$4:$E$144,$AB32,$G$4:$G$144,AE$29,$W$4:$W$144,"Y",B4:B144,"Y")</f>
        <v>1</v>
      </c>
      <c r="AF32" s="579" t="s">
        <v>41</v>
      </c>
      <c r="AG32" s="590">
        <f>COUNTIFS($F$4:$F$144,$AF32,$G$4:$G$144,AG$29,$W$4:$W$144,"Y",B4:B144,"Y")</f>
        <v>0</v>
      </c>
      <c r="AH32" s="550">
        <f>COUNTIFS($F$4:$F$144,$AF32,$G$4:$G$144,AH$29,$W$4:$W$144,"Y",B4:B144,"Y")</f>
        <v>2</v>
      </c>
      <c r="AI32" s="584">
        <f>COUNTIFS($F$4:$F$144,$AF32,$G$4:$G$144,AI$29,$W$4:$W$144,"Y",B4:B144,"Y")</f>
        <v>0</v>
      </c>
      <c r="AK32" s="557">
        <f t="shared" si="0"/>
        <v>45078</v>
      </c>
      <c r="AL32" s="321" t="str">
        <f t="shared" si="1"/>
        <v xml:space="preserve"> </v>
      </c>
      <c r="AM32" s="321" t="str">
        <f t="shared" si="2"/>
        <v xml:space="preserve"> </v>
      </c>
      <c r="AN32" s="321" t="str">
        <f t="shared" si="3"/>
        <v xml:space="preserve"> </v>
      </c>
      <c r="AO32" s="558" t="str">
        <f t="shared" si="4"/>
        <v xml:space="preserve"> </v>
      </c>
      <c r="AR32" s="6">
        <v>18</v>
      </c>
    </row>
    <row r="33" spans="1:44" ht="13" x14ac:dyDescent="0.25">
      <c r="A33" s="607" t="s">
        <v>585</v>
      </c>
      <c r="B33" s="27" t="s">
        <v>107</v>
      </c>
      <c r="C33" s="27" t="s">
        <v>1</v>
      </c>
      <c r="D33" s="27">
        <v>200341</v>
      </c>
      <c r="E33" s="27" t="s">
        <v>151</v>
      </c>
      <c r="F33" s="27" t="s">
        <v>75</v>
      </c>
      <c r="G33" s="27" t="s">
        <v>6</v>
      </c>
      <c r="H33" s="608">
        <v>45092</v>
      </c>
      <c r="I33" s="63">
        <v>1.5</v>
      </c>
      <c r="J33" s="608"/>
      <c r="K33" s="63"/>
      <c r="L33" s="608"/>
      <c r="M33" s="63"/>
      <c r="N33" s="608"/>
      <c r="O33" s="63"/>
      <c r="P33" s="608"/>
      <c r="Q33" s="63"/>
      <c r="R33" s="63">
        <f>Table4[[#This Row],[Initial Acres]]+Table4[[#This Row],[Day 2 
Acres]]+Table4[[#This Row],[Day 3
Acres]]+Table4[[#This Row],[Day 4
Acres]]+Table4[[#This Row],[Day 5 
Acres]]</f>
        <v>1.5</v>
      </c>
      <c r="S33" s="27" t="str">
        <f>IF($R33&lt;=0, " ",IF($R33&lt;=0.25, "A",IF($R33&lt;10, "B",IF($R33&lt;100, "C", IF($R33&lt;300, "D",IF($R33&lt;1000, "E",IF($R33&lt;5000,"F",IF($R33&gt;=5000, "G"))))))))</f>
        <v>B</v>
      </c>
      <c r="T33" s="27" t="s">
        <v>512</v>
      </c>
      <c r="U33" s="27" t="s">
        <v>508</v>
      </c>
      <c r="V33" s="27" t="s">
        <v>67</v>
      </c>
      <c r="W33" s="27" t="s">
        <v>107</v>
      </c>
      <c r="X33" s="27" t="s">
        <v>107</v>
      </c>
      <c r="Y33" s="27"/>
      <c r="Z33" s="610"/>
      <c r="AA33" s="6"/>
      <c r="AB33" s="852"/>
      <c r="AC33" s="853"/>
      <c r="AD33" s="853"/>
      <c r="AE33" s="854"/>
      <c r="AF33" s="579" t="s">
        <v>56</v>
      </c>
      <c r="AG33" s="590">
        <f>COUNTIFS($F$4:$F$144,$AF33,$G$4:$G$144,AG$29,$W$4:$W$144,"Y",B4:B144,"Y")</f>
        <v>0</v>
      </c>
      <c r="AH33" s="550">
        <f>COUNTIFS($F$4:$F$144,$AF33,$G$4:$G$144,AH$29,$W$4:$W$144,"Y",B4:B144,"Y")</f>
        <v>2</v>
      </c>
      <c r="AI33" s="584">
        <f>COUNTIFS($F$4:$F$144,$AF33,$G$4:$G$144,AI$29,$W$4:$W$144,"Y",B4:B144,"Y")</f>
        <v>0</v>
      </c>
      <c r="AK33" s="557">
        <f t="shared" si="0"/>
        <v>45092</v>
      </c>
      <c r="AL33" s="321" t="str">
        <f t="shared" si="1"/>
        <v xml:space="preserve"> </v>
      </c>
      <c r="AM33" s="321" t="str">
        <f t="shared" si="2"/>
        <v xml:space="preserve"> </v>
      </c>
      <c r="AN33" s="321" t="str">
        <f t="shared" si="3"/>
        <v xml:space="preserve"> </v>
      </c>
      <c r="AO33" s="558" t="str">
        <f t="shared" si="4"/>
        <v xml:space="preserve"> </v>
      </c>
      <c r="AR33" s="6" t="str">
        <v/>
      </c>
    </row>
    <row r="34" spans="1:44" ht="13" x14ac:dyDescent="0.25">
      <c r="A34" s="607" t="s">
        <v>586</v>
      </c>
      <c r="B34" s="27" t="s">
        <v>43</v>
      </c>
      <c r="C34" s="27" t="s">
        <v>587</v>
      </c>
      <c r="D34" s="27">
        <v>200384</v>
      </c>
      <c r="E34" s="27" t="s">
        <v>52</v>
      </c>
      <c r="F34" s="27" t="s">
        <v>56</v>
      </c>
      <c r="G34" s="27" t="s">
        <v>506</v>
      </c>
      <c r="H34" s="608">
        <v>45223</v>
      </c>
      <c r="I34" s="63">
        <v>10</v>
      </c>
      <c r="J34" s="608"/>
      <c r="K34" s="63"/>
      <c r="L34" s="608"/>
      <c r="M34" s="63"/>
      <c r="N34" s="608"/>
      <c r="O34" s="63"/>
      <c r="P34" s="608"/>
      <c r="Q34" s="63"/>
      <c r="R34" s="63">
        <f>Table4[[#This Row],[Initial Acres]]+Table4[[#This Row],[Day 2 
Acres]]+Table4[[#This Row],[Day 3
Acres]]+Table4[[#This Row],[Day 4
Acres]]+Table4[[#This Row],[Day 5 
Acres]]</f>
        <v>10</v>
      </c>
      <c r="S34" s="27" t="str">
        <f>IF($R34&lt;=0, " ",IF($R34&lt;=0.25, "A",IF($R34&lt;10, "B",IF($R34&lt;100, "C", IF($R34&lt;300, "D",IF($R34&lt;1000, "E",IF($R34&lt;5000,"F",IF($R34&gt;=5000, "G"))))))))</f>
        <v>C</v>
      </c>
      <c r="T34" s="27" t="s">
        <v>512</v>
      </c>
      <c r="U34" s="27" t="s">
        <v>508</v>
      </c>
      <c r="V34" s="27" t="s">
        <v>67</v>
      </c>
      <c r="W34" s="27" t="s">
        <v>107</v>
      </c>
      <c r="X34" s="27" t="s">
        <v>107</v>
      </c>
      <c r="Y34" s="27"/>
      <c r="Z34" s="610"/>
      <c r="AA34" s="6"/>
      <c r="AB34" s="855"/>
      <c r="AC34" s="856"/>
      <c r="AD34" s="856"/>
      <c r="AE34" s="846"/>
      <c r="AF34" s="579" t="s">
        <v>143</v>
      </c>
      <c r="AG34" s="590">
        <f>COUNTIFS($F$4:$F$144,$AF34,$G$4:$G$144,AG$29,$W$4:$W$144,"Y",B4:B144,"Y")</f>
        <v>0</v>
      </c>
      <c r="AH34" s="550">
        <f>COUNTIFS($F$4:$F$144,$AF34,$G$4:$G$144,AH$29,$W$4:$W$144,"Y",B4:B144,"Y")</f>
        <v>7</v>
      </c>
      <c r="AI34" s="584">
        <f>COUNTIFS($F$4:$F$144,$AF34,$G$4:$G$144,AI$29,$W$4:$W$144,"Y",B4:B144,"Y")</f>
        <v>1</v>
      </c>
      <c r="AK34" s="557">
        <f t="shared" si="0"/>
        <v>45223</v>
      </c>
      <c r="AL34" s="321" t="str">
        <f t="shared" si="1"/>
        <v xml:space="preserve"> </v>
      </c>
      <c r="AM34" s="321" t="str">
        <f t="shared" si="2"/>
        <v xml:space="preserve"> </v>
      </c>
      <c r="AN34" s="321" t="str">
        <f t="shared" si="3"/>
        <v xml:space="preserve"> </v>
      </c>
      <c r="AO34" s="558" t="str">
        <f t="shared" si="4"/>
        <v xml:space="preserve"> </v>
      </c>
      <c r="AR34" s="6">
        <v>18</v>
      </c>
    </row>
    <row r="35" spans="1:44" ht="13" x14ac:dyDescent="0.25">
      <c r="A35" s="607" t="s">
        <v>549</v>
      </c>
      <c r="B35" s="27" t="s">
        <v>43</v>
      </c>
      <c r="C35" s="27" t="s">
        <v>588</v>
      </c>
      <c r="D35" s="27">
        <v>200416</v>
      </c>
      <c r="E35" s="27" t="s">
        <v>52</v>
      </c>
      <c r="F35" s="27" t="s">
        <v>143</v>
      </c>
      <c r="G35" s="27" t="s">
        <v>506</v>
      </c>
      <c r="H35" s="608">
        <v>45189</v>
      </c>
      <c r="I35" s="63">
        <v>7</v>
      </c>
      <c r="J35" s="608"/>
      <c r="K35" s="63"/>
      <c r="L35" s="608"/>
      <c r="M35" s="63"/>
      <c r="N35" s="608"/>
      <c r="O35" s="63"/>
      <c r="P35" s="608"/>
      <c r="Q35" s="63"/>
      <c r="R35" s="63">
        <f>Table4[[#This Row],[Initial Acres]]+Table4[[#This Row],[Day 2 
Acres]]+Table4[[#This Row],[Day 3
Acres]]+Table4[[#This Row],[Day 4
Acres]]+Table4[[#This Row],[Day 5 
Acres]]</f>
        <v>7</v>
      </c>
      <c r="S35" s="27" t="str">
        <f>IF($R35&lt;=0, " ",IF($R35&lt;=0.25, "A",IF($R35&lt;10, "B",IF($R35&lt;100, "C", IF($R35&lt;300, "D",IF($R35&lt;1000, "E",IF($R35&lt;5000,"F",IF($R35&gt;=5000, "G"))))))))</f>
        <v>B</v>
      </c>
      <c r="T35" s="27" t="s">
        <v>525</v>
      </c>
      <c r="U35" s="27" t="s">
        <v>508</v>
      </c>
      <c r="V35" s="27"/>
      <c r="W35" s="27" t="s">
        <v>107</v>
      </c>
      <c r="X35" s="27" t="s">
        <v>107</v>
      </c>
      <c r="Y35" s="27"/>
      <c r="Z35" s="610" t="s">
        <v>589</v>
      </c>
      <c r="AA35" s="6"/>
      <c r="AB35" s="855"/>
      <c r="AC35" s="856"/>
      <c r="AD35" s="856"/>
      <c r="AE35" s="846"/>
      <c r="AF35" s="579" t="s">
        <v>358</v>
      </c>
      <c r="AG35" s="590">
        <f>COUNTIFS($F$4:$F$144,$AF35,$G$4:$G$144,AG$29,$W$4:$W$144,"Y",B4:B144,"Y")</f>
        <v>0</v>
      </c>
      <c r="AH35" s="550">
        <f>COUNTIFS($F$4:$F$144,$AF35,$G$4:$G$144,AH$29,$W$4:$W$144,"Y",B4:B144,"Y")</f>
        <v>0</v>
      </c>
      <c r="AI35" s="584">
        <f>COUNTIFS($F$4:$F$144,$AF35,$G$4:$G$144,AI$29,$W$4:$W$144,"Y",B4:B144,"Y")</f>
        <v>0</v>
      </c>
      <c r="AK35" s="557">
        <f t="shared" si="0"/>
        <v>45189</v>
      </c>
      <c r="AL35" s="321" t="str">
        <f t="shared" si="1"/>
        <v xml:space="preserve"> </v>
      </c>
      <c r="AM35" s="321" t="str">
        <f t="shared" si="2"/>
        <v xml:space="preserve"> </v>
      </c>
      <c r="AN35" s="321" t="str">
        <f t="shared" si="3"/>
        <v xml:space="preserve"> </v>
      </c>
      <c r="AO35" s="558" t="str">
        <f t="shared" si="4"/>
        <v xml:space="preserve"> </v>
      </c>
      <c r="AR35" s="6">
        <v>18</v>
      </c>
    </row>
    <row r="36" spans="1:44" ht="13" x14ac:dyDescent="0.25">
      <c r="A36" s="638" t="s">
        <v>532</v>
      </c>
      <c r="B36" s="614" t="s">
        <v>43</v>
      </c>
      <c r="C36" s="639" t="s">
        <v>590</v>
      </c>
      <c r="D36" s="27">
        <v>200669</v>
      </c>
      <c r="E36" s="27" t="s">
        <v>52</v>
      </c>
      <c r="F36" s="27" t="s">
        <v>143</v>
      </c>
      <c r="G36" s="27" t="s">
        <v>6</v>
      </c>
      <c r="H36" s="608">
        <v>45233</v>
      </c>
      <c r="I36" s="63">
        <v>5</v>
      </c>
      <c r="J36" s="608"/>
      <c r="K36" s="63"/>
      <c r="L36" s="608"/>
      <c r="M36" s="63"/>
      <c r="N36" s="608"/>
      <c r="O36" s="63"/>
      <c r="P36" s="608"/>
      <c r="Q36" s="63"/>
      <c r="R36" s="63">
        <f>Table4[[#This Row],[Initial Acres]]+Table4[[#This Row],[Day 2 
Acres]]+Table4[[#This Row],[Day 3
Acres]]+Table4[[#This Row],[Day 4
Acres]]+Table4[[#This Row],[Day 5 
Acres]]</f>
        <v>5</v>
      </c>
      <c r="S36" s="27" t="str">
        <f>IF($R36&lt;=0, " ",IF($R36&lt;=0.25, "A",IF($R36&lt;10, "B",IF($R36&lt;100, "C", IF($R36&lt;300, "D",IF($R36&lt;1000, "E",IF($R36&lt;5000,"F",IF($R36&gt;=5000, "G"))))))))</f>
        <v>B</v>
      </c>
      <c r="T36" s="27" t="s">
        <v>507</v>
      </c>
      <c r="U36" s="27" t="s">
        <v>508</v>
      </c>
      <c r="V36" s="27"/>
      <c r="W36" s="27" t="s">
        <v>107</v>
      </c>
      <c r="X36" s="27" t="s">
        <v>107</v>
      </c>
      <c r="Y36" s="27"/>
      <c r="Z36" s="610" t="s">
        <v>591</v>
      </c>
      <c r="AA36" s="6"/>
      <c r="AB36" s="855"/>
      <c r="AC36" s="856"/>
      <c r="AD36" s="856"/>
      <c r="AE36" s="846"/>
      <c r="AF36" s="579" t="s">
        <v>75</v>
      </c>
      <c r="AG36" s="590">
        <f>COUNTIFS($F$4:$F$144,$AF36,$G$4:$G$144,AG$29,$W$4:$W$144,"Y",B4:B144,"Y")</f>
        <v>0</v>
      </c>
      <c r="AH36" s="550">
        <f>COUNTIFS($F$4:$F$144,$AF36,$G$4:$G$144,AH$29,$W$4:$W$144,"Y",B4:B144,"Y")</f>
        <v>0</v>
      </c>
      <c r="AI36" s="584">
        <f>COUNTIFS($F$4:$F$144,$AF36,$G$4:$G$144,AI$29,$W$4:$W$144,"Y",B4:B144,"Y")</f>
        <v>0</v>
      </c>
      <c r="AK36" s="557">
        <f t="shared" si="0"/>
        <v>45233</v>
      </c>
      <c r="AL36" s="321" t="str">
        <f t="shared" si="1"/>
        <v xml:space="preserve"> </v>
      </c>
      <c r="AM36" s="321" t="str">
        <f t="shared" si="2"/>
        <v xml:space="preserve"> </v>
      </c>
      <c r="AN36" s="321" t="str">
        <f t="shared" si="3"/>
        <v xml:space="preserve"> </v>
      </c>
      <c r="AO36" s="558" t="str">
        <f t="shared" si="4"/>
        <v xml:space="preserve"> </v>
      </c>
      <c r="AR36" s="6">
        <v>18</v>
      </c>
    </row>
    <row r="37" spans="1:44" ht="13" x14ac:dyDescent="0.25">
      <c r="A37" s="607" t="s">
        <v>534</v>
      </c>
      <c r="B37" s="27" t="s">
        <v>43</v>
      </c>
      <c r="C37" s="27" t="s">
        <v>592</v>
      </c>
      <c r="D37" s="27">
        <v>200742</v>
      </c>
      <c r="E37" s="27" t="s">
        <v>52</v>
      </c>
      <c r="F37" s="27" t="s">
        <v>143</v>
      </c>
      <c r="G37" s="27" t="s">
        <v>506</v>
      </c>
      <c r="H37" s="608">
        <v>45209</v>
      </c>
      <c r="I37" s="63">
        <v>14</v>
      </c>
      <c r="J37" s="608"/>
      <c r="K37" s="63"/>
      <c r="L37" s="608"/>
      <c r="M37" s="63"/>
      <c r="N37" s="608"/>
      <c r="O37" s="63"/>
      <c r="P37" s="608"/>
      <c r="Q37" s="63"/>
      <c r="R37" s="63">
        <f>Table4[[#This Row],[Initial Acres]]+Table4[[#This Row],[Day 2 
Acres]]+Table4[[#This Row],[Day 3
Acres]]+Table4[[#This Row],[Day 4
Acres]]+Table4[[#This Row],[Day 5 
Acres]]</f>
        <v>14</v>
      </c>
      <c r="S37" s="27" t="str">
        <f>IF($R37&lt;=0, " ",IF($R37&lt;=0.25, "A",IF($R37&lt;10, "B",IF($R37&lt;100, "C", IF($R37&lt;300, "D",IF($R37&lt;1000, "E",IF($R37&lt;5000,"F",IF($R37&gt;=5000, "G"))))))))</f>
        <v>C</v>
      </c>
      <c r="T37" s="27" t="s">
        <v>525</v>
      </c>
      <c r="U37" s="27" t="s">
        <v>508</v>
      </c>
      <c r="V37" s="27"/>
      <c r="W37" s="27" t="s">
        <v>107</v>
      </c>
      <c r="X37" s="27" t="s">
        <v>107</v>
      </c>
      <c r="Y37" s="27"/>
      <c r="Z37" s="610"/>
      <c r="AA37" s="6"/>
      <c r="AB37" s="857"/>
      <c r="AC37" s="858"/>
      <c r="AD37" s="858"/>
      <c r="AE37" s="859"/>
      <c r="AF37" s="592" t="s">
        <v>217</v>
      </c>
      <c r="AG37" s="591">
        <f>COUNTIFS($F$4:$F$144,$AF37,$G$4:$G$144,AG$29,$W$4:$W$144,"Y",B4:B144,"Y")</f>
        <v>0</v>
      </c>
      <c r="AH37" s="582">
        <f>COUNTIFS($F$4:$F$144,$AF37,$G$4:$G$144,AH$29,$W$4:$W$144,"Y",B4:B144,"Y")</f>
        <v>1</v>
      </c>
      <c r="AI37" s="588">
        <f>COUNTIFS($F$4:$F$144,$AF37,$G$4:$G$144,AI$29,$W$4:$W$144,"Y",B4:B144,"Y")</f>
        <v>1</v>
      </c>
      <c r="AK37" s="557">
        <f t="shared" si="0"/>
        <v>45209</v>
      </c>
      <c r="AL37" s="321" t="str">
        <f t="shared" si="1"/>
        <v xml:space="preserve"> </v>
      </c>
      <c r="AM37" s="321" t="str">
        <f t="shared" si="2"/>
        <v xml:space="preserve"> </v>
      </c>
      <c r="AN37" s="321" t="str">
        <f t="shared" si="3"/>
        <v xml:space="preserve"> </v>
      </c>
      <c r="AO37" s="558" t="str">
        <f t="shared" si="4"/>
        <v xml:space="preserve"> </v>
      </c>
      <c r="AR37" s="6">
        <v>18</v>
      </c>
    </row>
    <row r="38" spans="1:44" ht="13" x14ac:dyDescent="0.25">
      <c r="A38" s="607" t="s">
        <v>570</v>
      </c>
      <c r="B38" s="27" t="s">
        <v>43</v>
      </c>
      <c r="C38" s="607" t="s">
        <v>593</v>
      </c>
      <c r="D38" s="27">
        <v>200790</v>
      </c>
      <c r="E38" s="27" t="s">
        <v>52</v>
      </c>
      <c r="F38" s="27" t="s">
        <v>143</v>
      </c>
      <c r="G38" s="27" t="s">
        <v>506</v>
      </c>
      <c r="H38" s="608">
        <v>45188</v>
      </c>
      <c r="I38" s="63">
        <v>10</v>
      </c>
      <c r="J38" s="608">
        <v>45189</v>
      </c>
      <c r="K38" s="63">
        <v>3</v>
      </c>
      <c r="L38" s="608"/>
      <c r="M38" s="63"/>
      <c r="N38" s="608"/>
      <c r="O38" s="63"/>
      <c r="P38" s="608"/>
      <c r="Q38" s="63"/>
      <c r="R38" s="63">
        <f>Table4[[#This Row],[Initial Acres]]+Table4[[#This Row],[Day 2 
Acres]]+Table4[[#This Row],[Day 3
Acres]]+Table4[[#This Row],[Day 4
Acres]]+Table4[[#This Row],[Day 5 
Acres]]</f>
        <v>13</v>
      </c>
      <c r="S38" s="27" t="str">
        <f>IF($R38&lt;=0, " ",IF($R38&lt;=0.25, "A",IF($R38&lt;10, "B",IF($R38&lt;100, "C", IF($R38&lt;300, "D",IF($R38&lt;1000, "E",IF($R38&lt;5000,"F",IF($R38&gt;=5000, "G"))))))))</f>
        <v>C</v>
      </c>
      <c r="T38" s="27" t="s">
        <v>525</v>
      </c>
      <c r="U38" s="27" t="s">
        <v>508</v>
      </c>
      <c r="V38" s="27"/>
      <c r="W38" s="27" t="s">
        <v>107</v>
      </c>
      <c r="X38" s="27" t="s">
        <v>107</v>
      </c>
      <c r="Y38" s="27" t="s">
        <v>594</v>
      </c>
      <c r="Z38" s="610" t="s">
        <v>594</v>
      </c>
      <c r="AA38" s="6"/>
      <c r="AK38" s="557">
        <f t="shared" si="0"/>
        <v>45188</v>
      </c>
      <c r="AL38" s="321">
        <f t="shared" si="1"/>
        <v>45189</v>
      </c>
      <c r="AM38" s="321" t="str">
        <f t="shared" si="2"/>
        <v xml:space="preserve"> </v>
      </c>
      <c r="AN38" s="321" t="str">
        <f t="shared" si="3"/>
        <v xml:space="preserve"> </v>
      </c>
      <c r="AO38" s="558" t="str">
        <f t="shared" si="4"/>
        <v xml:space="preserve"> </v>
      </c>
      <c r="AR38" s="6">
        <v>18</v>
      </c>
    </row>
    <row r="39" spans="1:44" ht="15.5" x14ac:dyDescent="0.25">
      <c r="A39" s="607" t="s">
        <v>595</v>
      </c>
      <c r="B39" s="27" t="s">
        <v>43</v>
      </c>
      <c r="C39" s="27" t="s">
        <v>596</v>
      </c>
      <c r="D39" s="27">
        <v>200831</v>
      </c>
      <c r="E39" s="27" t="s">
        <v>217</v>
      </c>
      <c r="F39" s="27" t="s">
        <v>217</v>
      </c>
      <c r="G39" s="27" t="s">
        <v>529</v>
      </c>
      <c r="H39" s="608">
        <v>45188</v>
      </c>
      <c r="I39" s="63">
        <v>475</v>
      </c>
      <c r="J39" s="608">
        <v>45196</v>
      </c>
      <c r="K39" s="63">
        <v>7</v>
      </c>
      <c r="L39" s="608"/>
      <c r="M39" s="63"/>
      <c r="N39" s="608"/>
      <c r="O39" s="63"/>
      <c r="P39" s="608"/>
      <c r="Q39" s="63"/>
      <c r="R39" s="63">
        <f>Table4[[#This Row],[Initial Acres]]+Table4[[#This Row],[Day 2 
Acres]]+Table4[[#This Row],[Day 3
Acres]]+Table4[[#This Row],[Day 4
Acres]]+Table4[[#This Row],[Day 5 
Acres]]</f>
        <v>482</v>
      </c>
      <c r="S39" s="27" t="str">
        <f>IF($R39&lt;=0, " ",IF($R39&lt;=0.25, "A",IF($R39&lt;10, "B",IF($R39&lt;100, "C", IF($R39&lt;300, "D",IF($R39&lt;1000, "E",IF($R39&lt;5000,"F",IF($R39&gt;=5000, "G"))))))))</f>
        <v>E</v>
      </c>
      <c r="T39" s="27" t="s">
        <v>525</v>
      </c>
      <c r="U39" s="27" t="s">
        <v>537</v>
      </c>
      <c r="V39" s="27"/>
      <c r="W39" s="27" t="s">
        <v>107</v>
      </c>
      <c r="X39" s="27" t="s">
        <v>107</v>
      </c>
      <c r="Y39" s="27"/>
      <c r="Z39" s="610" t="s">
        <v>597</v>
      </c>
      <c r="AA39" s="6"/>
      <c r="AB39" s="744" t="s">
        <v>598</v>
      </c>
      <c r="AC39" s="745"/>
      <c r="AD39" s="745"/>
      <c r="AE39" s="745"/>
      <c r="AF39" s="745"/>
      <c r="AG39" s="745"/>
      <c r="AH39" s="745"/>
      <c r="AI39" s="746"/>
      <c r="AK39" s="557">
        <f t="shared" si="0"/>
        <v>45188</v>
      </c>
      <c r="AL39" s="321">
        <f t="shared" si="1"/>
        <v>45196</v>
      </c>
      <c r="AM39" s="321" t="str">
        <f t="shared" si="2"/>
        <v xml:space="preserve"> </v>
      </c>
      <c r="AN39" s="321" t="str">
        <f t="shared" si="3"/>
        <v xml:space="preserve"> </v>
      </c>
      <c r="AO39" s="558" t="str">
        <f t="shared" si="4"/>
        <v xml:space="preserve"> </v>
      </c>
      <c r="AR39" s="6" t="str">
        <v/>
      </c>
    </row>
    <row r="40" spans="1:44" ht="15.5" x14ac:dyDescent="0.25">
      <c r="A40" s="607" t="s">
        <v>521</v>
      </c>
      <c r="B40" s="27" t="s">
        <v>43</v>
      </c>
      <c r="C40" s="27" t="s">
        <v>599</v>
      </c>
      <c r="D40" s="27">
        <v>200836</v>
      </c>
      <c r="E40" s="27" t="s">
        <v>52</v>
      </c>
      <c r="F40" s="27" t="s">
        <v>65</v>
      </c>
      <c r="G40" s="27" t="s">
        <v>506</v>
      </c>
      <c r="H40" s="608">
        <v>45191</v>
      </c>
      <c r="I40" s="63">
        <v>7</v>
      </c>
      <c r="J40" s="608">
        <v>45196</v>
      </c>
      <c r="K40" s="63">
        <v>10</v>
      </c>
      <c r="L40" s="608">
        <v>45223</v>
      </c>
      <c r="M40" s="63">
        <v>20</v>
      </c>
      <c r="N40" s="608">
        <v>45224</v>
      </c>
      <c r="O40" s="63">
        <v>50</v>
      </c>
      <c r="P40" s="608"/>
      <c r="Q40" s="63"/>
      <c r="R40" s="63">
        <f>Table4[[#This Row],[Initial Acres]]+Table4[[#This Row],[Day 2 
Acres]]+Table4[[#This Row],[Day 3
Acres]]+Table4[[#This Row],[Day 4
Acres]]+Table4[[#This Row],[Day 5 
Acres]]</f>
        <v>87</v>
      </c>
      <c r="S40" s="27" t="str">
        <f>IF($R40&lt;=0, " ",IF($R40&lt;=0.25, "A",IF($R40&lt;10, "B",IF($R40&lt;100, "C", IF($R40&lt;300, "D",IF($R40&lt;1000, "E",IF($R40&lt;5000,"F",IF($R40&gt;=5000, "G"))))))))</f>
        <v>C</v>
      </c>
      <c r="T40" s="27" t="s">
        <v>512</v>
      </c>
      <c r="U40" s="27" t="s">
        <v>508</v>
      </c>
      <c r="V40" s="27"/>
      <c r="W40" s="27" t="s">
        <v>107</v>
      </c>
      <c r="X40" s="27" t="s">
        <v>107</v>
      </c>
      <c r="Y40" s="637"/>
      <c r="Z40" s="636" t="s">
        <v>600</v>
      </c>
      <c r="AA40" s="6"/>
      <c r="AB40" s="744" t="s">
        <v>573</v>
      </c>
      <c r="AC40" s="745"/>
      <c r="AD40" s="745"/>
      <c r="AE40" s="746"/>
      <c r="AF40" s="744" t="s">
        <v>574</v>
      </c>
      <c r="AG40" s="745"/>
      <c r="AH40" s="745"/>
      <c r="AI40" s="746"/>
      <c r="AK40" s="557">
        <f t="shared" si="0"/>
        <v>45191</v>
      </c>
      <c r="AL40" s="321">
        <f t="shared" si="1"/>
        <v>45196</v>
      </c>
      <c r="AM40" s="321">
        <f t="shared" si="2"/>
        <v>45223</v>
      </c>
      <c r="AN40" s="321">
        <f t="shared" si="3"/>
        <v>45224</v>
      </c>
      <c r="AO40" s="558" t="str">
        <f t="shared" si="4"/>
        <v xml:space="preserve"> </v>
      </c>
      <c r="AR40" s="6">
        <v>18</v>
      </c>
    </row>
    <row r="41" spans="1:44" ht="13" x14ac:dyDescent="0.25">
      <c r="A41" s="607" t="s">
        <v>601</v>
      </c>
      <c r="B41" s="27" t="s">
        <v>107</v>
      </c>
      <c r="C41" s="27" t="s">
        <v>1</v>
      </c>
      <c r="D41" s="27">
        <v>200837</v>
      </c>
      <c r="E41" s="27" t="s">
        <v>217</v>
      </c>
      <c r="F41" s="27" t="s">
        <v>217</v>
      </c>
      <c r="G41" s="27" t="s">
        <v>6</v>
      </c>
      <c r="H41" s="608">
        <v>45191</v>
      </c>
      <c r="I41" s="63">
        <v>250</v>
      </c>
      <c r="J41" s="608"/>
      <c r="K41" s="63"/>
      <c r="L41" s="608"/>
      <c r="M41" s="63"/>
      <c r="N41" s="608"/>
      <c r="O41" s="63"/>
      <c r="P41" s="608"/>
      <c r="Q41" s="63"/>
      <c r="R41" s="63">
        <f>Table4[[#This Row],[Initial Acres]]+Table4[[#This Row],[Day 2 
Acres]]+Table4[[#This Row],[Day 3
Acres]]+Table4[[#This Row],[Day 4
Acres]]+Table4[[#This Row],[Day 5 
Acres]]</f>
        <v>250</v>
      </c>
      <c r="S41" s="27" t="str">
        <f>IF($R41&lt;=0, " ",IF($R41&lt;=0.25, "A",IF($R41&lt;10, "B",IF($R41&lt;100, "C", IF($R41&lt;300, "D",IF($R41&lt;1000, "E",IF($R41&lt;5000,"F",IF($R41&gt;=5000, "G"))))))))</f>
        <v>D</v>
      </c>
      <c r="T41" s="27" t="s">
        <v>507</v>
      </c>
      <c r="U41" s="27" t="s">
        <v>508</v>
      </c>
      <c r="V41" s="27"/>
      <c r="W41" s="27" t="s">
        <v>107</v>
      </c>
      <c r="X41" s="27" t="s">
        <v>107</v>
      </c>
      <c r="Y41" s="27"/>
      <c r="Z41" s="610" t="s">
        <v>602</v>
      </c>
      <c r="AA41" s="6"/>
      <c r="AB41" s="575"/>
      <c r="AC41" s="574" t="s">
        <v>603</v>
      </c>
      <c r="AD41" s="574" t="s">
        <v>604</v>
      </c>
      <c r="AE41" s="580" t="s">
        <v>605</v>
      </c>
      <c r="AF41" s="581"/>
      <c r="AG41" s="574" t="s">
        <v>603</v>
      </c>
      <c r="AH41" s="574" t="s">
        <v>604</v>
      </c>
      <c r="AI41" s="574" t="s">
        <v>605</v>
      </c>
      <c r="AK41" s="557">
        <f t="shared" si="0"/>
        <v>45191</v>
      </c>
      <c r="AL41" s="321" t="str">
        <f t="shared" si="1"/>
        <v xml:space="preserve"> </v>
      </c>
      <c r="AM41" s="321" t="str">
        <f t="shared" si="2"/>
        <v xml:space="preserve"> </v>
      </c>
      <c r="AN41" s="321" t="str">
        <f t="shared" si="3"/>
        <v xml:space="preserve"> </v>
      </c>
      <c r="AO41" s="558" t="str">
        <f t="shared" si="4"/>
        <v xml:space="preserve"> </v>
      </c>
      <c r="AR41" s="6" t="str">
        <v/>
      </c>
    </row>
    <row r="42" spans="1:44" ht="13" x14ac:dyDescent="0.25">
      <c r="A42" s="607" t="s">
        <v>552</v>
      </c>
      <c r="B42" s="27" t="s">
        <v>43</v>
      </c>
      <c r="C42" s="27" t="s">
        <v>606</v>
      </c>
      <c r="D42" s="27">
        <v>200841</v>
      </c>
      <c r="E42" s="27" t="s">
        <v>52</v>
      </c>
      <c r="F42" s="27" t="s">
        <v>56</v>
      </c>
      <c r="G42" s="27" t="s">
        <v>6</v>
      </c>
      <c r="H42" s="608">
        <v>45196</v>
      </c>
      <c r="I42" s="63">
        <v>2</v>
      </c>
      <c r="J42" s="608"/>
      <c r="K42" s="63"/>
      <c r="L42" s="608"/>
      <c r="M42" s="63"/>
      <c r="N42" s="608"/>
      <c r="O42" s="63"/>
      <c r="P42" s="608"/>
      <c r="Q42" s="63"/>
      <c r="R42" s="63">
        <f>Table4[[#This Row],[Initial Acres]]+Table4[[#This Row],[Day 2 
Acres]]+Table4[[#This Row],[Day 3
Acres]]+Table4[[#This Row],[Day 4
Acres]]+Table4[[#This Row],[Day 5 
Acres]]</f>
        <v>2</v>
      </c>
      <c r="S42" s="27" t="str">
        <f>IF($R42&lt;=0, " ",IF($R42&lt;=0.25, "A",IF($R42&lt;10, "B",IF($R42&lt;100, "C", IF($R42&lt;300, "D",IF($R42&lt;1000, "E",IF($R42&lt;5000,"F",IF($R42&gt;=5000, "G"))))))))</f>
        <v>B</v>
      </c>
      <c r="T42" s="27" t="s">
        <v>512</v>
      </c>
      <c r="U42" s="27" t="s">
        <v>508</v>
      </c>
      <c r="V42" s="27"/>
      <c r="W42" s="27" t="s">
        <v>107</v>
      </c>
      <c r="X42" s="27" t="s">
        <v>107</v>
      </c>
      <c r="Y42" s="27"/>
      <c r="Z42" s="610" t="s">
        <v>607</v>
      </c>
      <c r="AA42" s="6"/>
      <c r="AB42" s="576" t="s">
        <v>52</v>
      </c>
      <c r="AC42" s="551">
        <f>COUNTIFS(T4:T144,"Broadcast",E4:E144,AB42,W4:W144,"y",B4:B144,"y")</f>
        <v>13</v>
      </c>
      <c r="AD42" s="552">
        <f>COUNTIFS(T4:T144,"Hand Piles",E4:E144,AB42,W4:W144,"y",B4:B144,"y")</f>
        <v>6</v>
      </c>
      <c r="AE42" s="585">
        <f>COUNTIFS(T4:T144,"Landing Piles",E4:E144,AB42,W4:W144,"y",B4:B144,"y")</f>
        <v>0</v>
      </c>
      <c r="AF42" s="578" t="s">
        <v>65</v>
      </c>
      <c r="AG42" s="589">
        <f>COUNTIFS(T4:T144,"Broadcast",F4:F144,AF42,W4:W144,"y",B4:B144,"y")</f>
        <v>2</v>
      </c>
      <c r="AH42" s="552">
        <f>COUNTIFS(T4:T144,"Hand Piles",E4:E144,AF42,W4:W144,"y",B4:B144,"y")</f>
        <v>0</v>
      </c>
      <c r="AI42" s="583">
        <f>COUNTIFS(T4:T144,"Landing Piles",E4:E144,AF42,W4:W144,"y",B4:B144,"y")</f>
        <v>0</v>
      </c>
      <c r="AK42" s="557">
        <f t="shared" si="0"/>
        <v>45196</v>
      </c>
      <c r="AL42" s="321" t="str">
        <f t="shared" si="1"/>
        <v xml:space="preserve"> </v>
      </c>
      <c r="AM42" s="321" t="str">
        <f t="shared" si="2"/>
        <v xml:space="preserve"> </v>
      </c>
      <c r="AN42" s="321" t="str">
        <f t="shared" si="3"/>
        <v xml:space="preserve"> </v>
      </c>
      <c r="AO42" s="558" t="str">
        <f t="shared" si="4"/>
        <v xml:space="preserve"> </v>
      </c>
      <c r="AR42" s="6">
        <v>18</v>
      </c>
    </row>
    <row r="43" spans="1:44" ht="13" x14ac:dyDescent="0.25">
      <c r="A43" s="607" t="s">
        <v>532</v>
      </c>
      <c r="B43" s="27" t="s">
        <v>107</v>
      </c>
      <c r="C43" s="27" t="s">
        <v>608</v>
      </c>
      <c r="D43" s="27">
        <v>200856</v>
      </c>
      <c r="E43" s="27" t="s">
        <v>52</v>
      </c>
      <c r="F43" s="27" t="s">
        <v>143</v>
      </c>
      <c r="G43" s="27" t="s">
        <v>506</v>
      </c>
      <c r="H43" s="608">
        <v>45202</v>
      </c>
      <c r="I43" s="63">
        <v>35</v>
      </c>
      <c r="J43" s="608">
        <v>45203</v>
      </c>
      <c r="K43" s="63">
        <v>4</v>
      </c>
      <c r="L43" s="608">
        <v>45208</v>
      </c>
      <c r="M43" s="63">
        <v>45</v>
      </c>
      <c r="N43" s="608"/>
      <c r="O43" s="63"/>
      <c r="P43" s="608"/>
      <c r="Q43" s="63"/>
      <c r="R43" s="63">
        <f>Table4[[#This Row],[Initial Acres]]+Table4[[#This Row],[Day 2 
Acres]]+Table4[[#This Row],[Day 3
Acres]]+Table4[[#This Row],[Day 4
Acres]]+Table4[[#This Row],[Day 5 
Acres]]</f>
        <v>84</v>
      </c>
      <c r="S43" s="27" t="str">
        <f>IF($R43&lt;=0, " ",IF($R43&lt;=0.25, "A",IF($R43&lt;10, "B",IF($R43&lt;100, "C", IF($R43&lt;300, "D",IF($R43&lt;1000, "E",IF($R43&lt;5000,"F",IF($R43&gt;=5000, "G"))))))))</f>
        <v>C</v>
      </c>
      <c r="T43" s="27" t="s">
        <v>512</v>
      </c>
      <c r="U43" s="27" t="s">
        <v>508</v>
      </c>
      <c r="V43" s="27"/>
      <c r="W43" s="27" t="s">
        <v>107</v>
      </c>
      <c r="X43" s="27" t="s">
        <v>107</v>
      </c>
      <c r="Y43" s="27" t="s">
        <v>609</v>
      </c>
      <c r="Z43" s="610" t="s">
        <v>610</v>
      </c>
      <c r="AA43" s="6"/>
      <c r="AB43" s="113" t="s">
        <v>151</v>
      </c>
      <c r="AC43" s="109">
        <f>COUNTIFS(T4:T144,"Broadcast",E4:E144,AB43,W4:W144,"y",B4:B144,"y")</f>
        <v>0</v>
      </c>
      <c r="AD43" s="550">
        <f>COUNTIFS(T4:T144,"Hand Piles",E4:E144,AB43,W4:W144,"y",B4:B144,"y")</f>
        <v>1</v>
      </c>
      <c r="AE43" s="586">
        <f>COUNTIFS(T4:T144,"Landing Piles",E4:E144,AB43,W4:W144,"y",B4:B144,"y")</f>
        <v>0</v>
      </c>
      <c r="AF43" s="579" t="s">
        <v>50</v>
      </c>
      <c r="AG43" s="590">
        <f>COUNTIFS(T4:T144,"Broadcast",F4:F144,AF43,W4:W144,"y",B4:B144,"y")</f>
        <v>1</v>
      </c>
      <c r="AH43" s="550">
        <f>COUNTIFS(T4:T144,"Hand Piles",E4:E144,AF43,W4:W144,"y",B4:B144,"y")</f>
        <v>0</v>
      </c>
      <c r="AI43" s="584">
        <f>COUNTIFS(T4:T144,"Landing Piles",E4:E144,AF43,W4:W144,"y",B4:B144,"y")</f>
        <v>0</v>
      </c>
      <c r="AK43" s="557">
        <f t="shared" si="0"/>
        <v>45202</v>
      </c>
      <c r="AL43" s="321">
        <f t="shared" si="1"/>
        <v>45203</v>
      </c>
      <c r="AM43" s="321">
        <f t="shared" si="2"/>
        <v>45208</v>
      </c>
      <c r="AN43" s="321" t="str">
        <f t="shared" si="3"/>
        <v xml:space="preserve"> </v>
      </c>
      <c r="AO43" s="558" t="str">
        <f t="shared" si="4"/>
        <v xml:space="preserve"> </v>
      </c>
      <c r="AR43" s="6">
        <v>18</v>
      </c>
    </row>
    <row r="44" spans="1:44" ht="13" x14ac:dyDescent="0.25">
      <c r="A44" s="607" t="s">
        <v>611</v>
      </c>
      <c r="B44" s="27" t="s">
        <v>107</v>
      </c>
      <c r="C44" s="27" t="s">
        <v>612</v>
      </c>
      <c r="D44" s="27">
        <v>200857</v>
      </c>
      <c r="E44" s="27" t="s">
        <v>52</v>
      </c>
      <c r="F44" s="27" t="s">
        <v>50</v>
      </c>
      <c r="G44" s="27" t="s">
        <v>6</v>
      </c>
      <c r="H44" s="608">
        <v>45202</v>
      </c>
      <c r="I44" s="63">
        <v>10</v>
      </c>
      <c r="J44" s="608"/>
      <c r="K44" s="63"/>
      <c r="L44" s="608"/>
      <c r="M44" s="63"/>
      <c r="N44" s="608"/>
      <c r="O44" s="63"/>
      <c r="P44" s="608"/>
      <c r="Q44" s="63"/>
      <c r="R44" s="63">
        <f>Table4[[#This Row],[Initial Acres]]+Table4[[#This Row],[Day 2 
Acres]]+Table4[[#This Row],[Day 3
Acres]]+Table4[[#This Row],[Day 4
Acres]]+Table4[[#This Row],[Day 5 
Acres]]</f>
        <v>10</v>
      </c>
      <c r="S44" s="27" t="str">
        <f>IF($R44&lt;=0, " ",IF($R44&lt;=0.25, "A",IF($R44&lt;10, "B",IF($R44&lt;100, "C", IF($R44&lt;300, "D",IF($R44&lt;1000, "E",IF($R44&lt;5000,"F",IF($R44&gt;=5000, "G"))))))))</f>
        <v>C</v>
      </c>
      <c r="T44" s="27" t="s">
        <v>512</v>
      </c>
      <c r="U44" s="27" t="s">
        <v>508</v>
      </c>
      <c r="V44" s="27"/>
      <c r="W44" s="27" t="s">
        <v>107</v>
      </c>
      <c r="X44" s="27" t="s">
        <v>107</v>
      </c>
      <c r="Y44" s="27"/>
      <c r="Z44" s="610" t="s">
        <v>613</v>
      </c>
      <c r="AA44" s="6"/>
      <c r="AB44" s="577" t="s">
        <v>217</v>
      </c>
      <c r="AC44" s="110">
        <f>COUNTIFS(T4:T144,"Broadcast",E4:E144,AB44,W4:W144,"y",B4:B144,"y")</f>
        <v>1</v>
      </c>
      <c r="AD44" s="553">
        <f>COUNTIFS(T4:T144,"Hand Piles",E4:E144,AB44,W4:W144,"y",B4:B144,"y")</f>
        <v>1</v>
      </c>
      <c r="AE44" s="587">
        <f>COUNTIFS(T4:T144,"Landing Piles",E4:E144,AB44,W4:W144,"y",B4:B144,"y")</f>
        <v>2</v>
      </c>
      <c r="AF44" s="579" t="s">
        <v>41</v>
      </c>
      <c r="AG44" s="590">
        <f>COUNTIFS(T4:T144,"Broadcast",F4:F144,AF44,W4:W144,"y",B4:B144,"y")</f>
        <v>2</v>
      </c>
      <c r="AH44" s="550">
        <f>COUNTIFS(T4:T144,"Hand Piles",E4:E144,AF44,W4:W144,"y",B4:B144,"y")</f>
        <v>0</v>
      </c>
      <c r="AI44" s="584">
        <f>COUNTIFS(T4:T144,"Landing Piles",E4:E144,AF44,W4:W144,"y",B4:B144,"y")</f>
        <v>0</v>
      </c>
      <c r="AK44" s="557">
        <f t="shared" si="0"/>
        <v>45202</v>
      </c>
      <c r="AL44" s="321" t="str">
        <f t="shared" si="1"/>
        <v xml:space="preserve"> </v>
      </c>
      <c r="AM44" s="321" t="str">
        <f t="shared" si="2"/>
        <v xml:space="preserve"> </v>
      </c>
      <c r="AN44" s="321" t="str">
        <f t="shared" si="3"/>
        <v xml:space="preserve"> </v>
      </c>
      <c r="AO44" s="558" t="str">
        <f t="shared" si="4"/>
        <v xml:space="preserve"> </v>
      </c>
      <c r="AR44" s="6">
        <v>18</v>
      </c>
    </row>
    <row r="45" spans="1:44" ht="13" x14ac:dyDescent="0.25">
      <c r="A45" s="607" t="s">
        <v>521</v>
      </c>
      <c r="B45" s="27" t="s">
        <v>43</v>
      </c>
      <c r="C45" s="27" t="s">
        <v>614</v>
      </c>
      <c r="D45" s="27">
        <v>200858</v>
      </c>
      <c r="E45" s="27" t="s">
        <v>52</v>
      </c>
      <c r="F45" s="27" t="s">
        <v>65</v>
      </c>
      <c r="G45" s="27" t="s">
        <v>6</v>
      </c>
      <c r="H45" s="608">
        <v>45202</v>
      </c>
      <c r="I45" s="63">
        <v>10</v>
      </c>
      <c r="J45" s="608">
        <v>45209</v>
      </c>
      <c r="K45" s="63">
        <v>10</v>
      </c>
      <c r="L45" s="608"/>
      <c r="M45" s="63"/>
      <c r="N45" s="608"/>
      <c r="O45" s="63"/>
      <c r="P45" s="608"/>
      <c r="Q45" s="63"/>
      <c r="R45" s="63">
        <f>Table4[[#This Row],[Initial Acres]]+Table4[[#This Row],[Day 2 
Acres]]+Table4[[#This Row],[Day 3
Acres]]+Table4[[#This Row],[Day 4
Acres]]+Table4[[#This Row],[Day 5 
Acres]]</f>
        <v>20</v>
      </c>
      <c r="S45" s="27" t="str">
        <f>IF($R45&lt;=0, " ",IF($R45&lt;=0.25, "A",IF($R45&lt;10, "B",IF($R45&lt;100, "C", IF($R45&lt;300, "D",IF($R45&lt;1000, "E",IF($R45&lt;5000,"F",IF($R45&gt;=5000, "G"))))))))</f>
        <v>C</v>
      </c>
      <c r="T45" s="27" t="s">
        <v>512</v>
      </c>
      <c r="U45" s="27" t="s">
        <v>508</v>
      </c>
      <c r="V45" s="27"/>
      <c r="W45" s="27" t="s">
        <v>107</v>
      </c>
      <c r="X45" s="27" t="s">
        <v>107</v>
      </c>
      <c r="Y45" s="27"/>
      <c r="Z45" s="610" t="s">
        <v>615</v>
      </c>
      <c r="AA45" s="6"/>
      <c r="AB45" s="852"/>
      <c r="AC45" s="853"/>
      <c r="AD45" s="853"/>
      <c r="AE45" s="854"/>
      <c r="AF45" s="579" t="s">
        <v>56</v>
      </c>
      <c r="AG45" s="590">
        <f>COUNTIFS(T4:T144,"Broadcast",F4:F144,AF45,W4:W144,"y",B4:B144,"y")</f>
        <v>1</v>
      </c>
      <c r="AH45" s="550">
        <f>COUNTIFS(T4:T144,"Hand Piles",E4:E144,AF45,W4:W144,"y",B4:B144,"y")</f>
        <v>0</v>
      </c>
      <c r="AI45" s="584">
        <f>COUNTIFS(T4:T144,"Landing Piles",E4:E144,AF45,W4:W144,"y",B4:B144,"y")</f>
        <v>0</v>
      </c>
      <c r="AK45" s="557">
        <f t="shared" si="0"/>
        <v>45202</v>
      </c>
      <c r="AL45" s="321">
        <f t="shared" si="1"/>
        <v>45209</v>
      </c>
      <c r="AM45" s="321" t="str">
        <f t="shared" si="2"/>
        <v xml:space="preserve"> </v>
      </c>
      <c r="AN45" s="321" t="str">
        <f t="shared" si="3"/>
        <v xml:space="preserve"> </v>
      </c>
      <c r="AO45" s="558" t="str">
        <f t="shared" si="4"/>
        <v xml:space="preserve"> </v>
      </c>
      <c r="AR45" s="6">
        <v>18</v>
      </c>
    </row>
    <row r="46" spans="1:44" ht="13" x14ac:dyDescent="0.25">
      <c r="A46" s="607" t="s">
        <v>510</v>
      </c>
      <c r="B46" s="27" t="s">
        <v>43</v>
      </c>
      <c r="C46" s="27" t="s">
        <v>616</v>
      </c>
      <c r="D46" s="27">
        <v>200859</v>
      </c>
      <c r="E46" s="27" t="s">
        <v>52</v>
      </c>
      <c r="F46" s="27" t="s">
        <v>41</v>
      </c>
      <c r="G46" s="27" t="s">
        <v>6</v>
      </c>
      <c r="H46" s="608">
        <v>45203</v>
      </c>
      <c r="I46" s="63">
        <v>40</v>
      </c>
      <c r="J46" s="608">
        <v>45209</v>
      </c>
      <c r="K46" s="63">
        <v>30</v>
      </c>
      <c r="L46" s="608"/>
      <c r="M46" s="63"/>
      <c r="N46" s="608"/>
      <c r="O46" s="63"/>
      <c r="P46" s="608"/>
      <c r="Q46" s="63"/>
      <c r="R46" s="63">
        <f>Table4[[#This Row],[Initial Acres]]+Table4[[#This Row],[Day 2 
Acres]]+Table4[[#This Row],[Day 3
Acres]]+Table4[[#This Row],[Day 4
Acres]]+Table4[[#This Row],[Day 5 
Acres]]</f>
        <v>70</v>
      </c>
      <c r="S46" s="27" t="str">
        <f>IF($R46&lt;=0, " ",IF($R46&lt;=0.25, "A",IF($R46&lt;10, "B",IF($R46&lt;100, "C", IF($R46&lt;300, "D",IF($R46&lt;1000, "E",IF($R46&lt;5000,"F",IF($R46&gt;=5000, "G"))))))))</f>
        <v>C</v>
      </c>
      <c r="T46" s="27" t="s">
        <v>512</v>
      </c>
      <c r="U46" s="27" t="s">
        <v>508</v>
      </c>
      <c r="V46" s="27"/>
      <c r="W46" s="27" t="s">
        <v>107</v>
      </c>
      <c r="X46" s="27" t="s">
        <v>107</v>
      </c>
      <c r="Y46" s="27"/>
      <c r="Z46" s="611" t="s">
        <v>617</v>
      </c>
      <c r="AA46" s="6"/>
      <c r="AB46" s="855"/>
      <c r="AC46" s="856"/>
      <c r="AD46" s="856"/>
      <c r="AE46" s="846"/>
      <c r="AF46" s="579" t="s">
        <v>143</v>
      </c>
      <c r="AG46" s="590">
        <f>COUNTIFS(T4:T144,"Broadcast",F4:F144,AF46,W4:W144,"y",B4:B144,"y")</f>
        <v>7</v>
      </c>
      <c r="AH46" s="550">
        <f>COUNTIFS(T4:T144,"Hand Piles",E4:E144,AF46,W4:W144,"y",B4:B144,"y")</f>
        <v>0</v>
      </c>
      <c r="AI46" s="584">
        <f>COUNTIFS(T4:T144,"Landing Piles",E4:E144,AF46,W4:W144,"y",B4:B144,"y")</f>
        <v>0</v>
      </c>
      <c r="AK46" s="557">
        <f t="shared" si="0"/>
        <v>45203</v>
      </c>
      <c r="AL46" s="321">
        <f t="shared" si="1"/>
        <v>45209</v>
      </c>
      <c r="AM46" s="321" t="str">
        <f t="shared" si="2"/>
        <v xml:space="preserve"> </v>
      </c>
      <c r="AN46" s="321" t="str">
        <f t="shared" si="3"/>
        <v xml:space="preserve"> </v>
      </c>
      <c r="AO46" s="558" t="str">
        <f t="shared" si="4"/>
        <v xml:space="preserve"> </v>
      </c>
      <c r="AR46" s="6">
        <v>18</v>
      </c>
    </row>
    <row r="47" spans="1:44" ht="13" x14ac:dyDescent="0.25">
      <c r="A47" s="607" t="s">
        <v>510</v>
      </c>
      <c r="B47" s="27" t="s">
        <v>43</v>
      </c>
      <c r="C47" s="27" t="s">
        <v>618</v>
      </c>
      <c r="D47" s="27">
        <v>200860</v>
      </c>
      <c r="E47" s="27" t="s">
        <v>52</v>
      </c>
      <c r="F47" s="27" t="s">
        <v>41</v>
      </c>
      <c r="G47" s="27" t="s">
        <v>6</v>
      </c>
      <c r="H47" s="608">
        <v>45203</v>
      </c>
      <c r="I47" s="63">
        <v>30</v>
      </c>
      <c r="J47" s="608">
        <v>45237</v>
      </c>
      <c r="K47" s="63">
        <v>30</v>
      </c>
      <c r="L47" s="608"/>
      <c r="M47" s="63"/>
      <c r="N47" s="608"/>
      <c r="O47" s="63"/>
      <c r="P47" s="608"/>
      <c r="Q47" s="63"/>
      <c r="R47" s="63">
        <f>Table4[[#This Row],[Initial Acres]]+Table4[[#This Row],[Day 2 
Acres]]+Table4[[#This Row],[Day 3
Acres]]+Table4[[#This Row],[Day 4
Acres]]+Table4[[#This Row],[Day 5 
Acres]]</f>
        <v>60</v>
      </c>
      <c r="S47" s="27" t="str">
        <f>IF($R47&lt;=0, " ",IF($R47&lt;=0.25, "A",IF($R47&lt;10, "B",IF($R47&lt;100, "C", IF($R47&lt;300, "D",IF($R47&lt;1000, "E",IF($R47&lt;5000,"F",IF($R47&gt;=5000, "G"))))))))</f>
        <v>C</v>
      </c>
      <c r="T47" s="27" t="s">
        <v>512</v>
      </c>
      <c r="U47" s="27" t="s">
        <v>508</v>
      </c>
      <c r="V47" s="27"/>
      <c r="W47" s="27" t="s">
        <v>107</v>
      </c>
      <c r="X47" s="27" t="s">
        <v>107</v>
      </c>
      <c r="Y47" s="637" t="s">
        <v>619</v>
      </c>
      <c r="Z47" s="610" t="s">
        <v>620</v>
      </c>
      <c r="AA47" s="6"/>
      <c r="AB47" s="855"/>
      <c r="AC47" s="856"/>
      <c r="AD47" s="856"/>
      <c r="AE47" s="846"/>
      <c r="AF47" s="579" t="s">
        <v>358</v>
      </c>
      <c r="AG47" s="590">
        <f>COUNTIFS(T4:T144,"Broadcast",F4:F144,AF47,W4:W144,"y",B4:B144,"y")</f>
        <v>0</v>
      </c>
      <c r="AH47" s="550">
        <f>COUNTIFS(T4:T144,"Hand Piles",E4:E144,AF47,W4:W144,"y",B4:B144,"y")</f>
        <v>0</v>
      </c>
      <c r="AI47" s="584">
        <f>COUNTIFS(T4:T144,"Landing Piles",E4:E144,AF47,W4:W144,"y",B4:B144,"y")</f>
        <v>0</v>
      </c>
      <c r="AK47" s="557">
        <f t="shared" si="0"/>
        <v>45203</v>
      </c>
      <c r="AL47" s="321">
        <f t="shared" si="1"/>
        <v>45237</v>
      </c>
      <c r="AM47" s="321" t="str">
        <f t="shared" si="2"/>
        <v xml:space="preserve"> </v>
      </c>
      <c r="AN47" s="321" t="str">
        <f t="shared" si="3"/>
        <v xml:space="preserve"> </v>
      </c>
      <c r="AO47" s="558" t="str">
        <f t="shared" si="4"/>
        <v xml:space="preserve"> </v>
      </c>
      <c r="AR47" s="6">
        <v>18</v>
      </c>
    </row>
    <row r="48" spans="1:44" ht="13" x14ac:dyDescent="0.25">
      <c r="A48" s="607" t="s">
        <v>510</v>
      </c>
      <c r="B48" s="27" t="s">
        <v>43</v>
      </c>
      <c r="C48" s="27" t="s">
        <v>621</v>
      </c>
      <c r="D48" s="27">
        <v>200866</v>
      </c>
      <c r="E48" s="27" t="s">
        <v>52</v>
      </c>
      <c r="F48" s="27" t="s">
        <v>41</v>
      </c>
      <c r="G48" s="27" t="s">
        <v>6</v>
      </c>
      <c r="H48" s="608">
        <v>45204</v>
      </c>
      <c r="I48" s="63">
        <v>33</v>
      </c>
      <c r="J48" s="608">
        <v>45224</v>
      </c>
      <c r="K48" s="63">
        <v>30</v>
      </c>
      <c r="L48" s="608"/>
      <c r="M48" s="63"/>
      <c r="N48" s="608"/>
      <c r="O48" s="63"/>
      <c r="P48" s="608"/>
      <c r="Q48" s="63"/>
      <c r="R48" s="63">
        <f>Table4[[#This Row],[Initial Acres]]+Table4[[#This Row],[Day 2 
Acres]]+Table4[[#This Row],[Day 3
Acres]]+Table4[[#This Row],[Day 4
Acres]]+Table4[[#This Row],[Day 5 
Acres]]</f>
        <v>63</v>
      </c>
      <c r="S48" s="27" t="str">
        <f>IF($R48&lt;=0, " ",IF($R48&lt;=0.25, "A",IF($R48&lt;10, "B",IF($R48&lt;100, "C", IF($R48&lt;300, "D",IF($R48&lt;1000, "E",IF($R48&lt;5000,"F",IF($R48&gt;=5000, "G"))))))))</f>
        <v>C</v>
      </c>
      <c r="T48" s="27" t="s">
        <v>507</v>
      </c>
      <c r="U48" s="27" t="s">
        <v>508</v>
      </c>
      <c r="V48" s="27"/>
      <c r="W48" s="27" t="s">
        <v>107</v>
      </c>
      <c r="X48" s="27" t="s">
        <v>107</v>
      </c>
      <c r="Y48" s="27"/>
      <c r="Z48" s="610" t="s">
        <v>622</v>
      </c>
      <c r="AA48" s="6"/>
      <c r="AB48" s="855"/>
      <c r="AC48" s="856"/>
      <c r="AD48" s="856"/>
      <c r="AE48" s="846"/>
      <c r="AF48" s="579" t="s">
        <v>75</v>
      </c>
      <c r="AG48" s="590">
        <f>COUNTIFS(T4:T144,"Broadcast",F4:F144,AF48,W4:W144,"y",B4:B144,"y")</f>
        <v>0</v>
      </c>
      <c r="AH48" s="550">
        <f>COUNTIFS(T4:T144,"Hand Piles",E4:E144,AF48,W4:W144,"y",B4:B144,"y")</f>
        <v>0</v>
      </c>
      <c r="AI48" s="584">
        <f>COUNTIFS(T4:T144,"Landing Piles",E4:E144,AF48,W4:W144,"y",B4:B144,"y")</f>
        <v>0</v>
      </c>
      <c r="AK48" s="557">
        <f t="shared" si="0"/>
        <v>45204</v>
      </c>
      <c r="AL48" s="321">
        <f t="shared" si="1"/>
        <v>45224</v>
      </c>
      <c r="AM48" s="321" t="str">
        <f t="shared" si="2"/>
        <v xml:space="preserve"> </v>
      </c>
      <c r="AN48" s="321" t="str">
        <f t="shared" si="3"/>
        <v xml:space="preserve"> </v>
      </c>
      <c r="AO48" s="558" t="str">
        <f t="shared" si="4"/>
        <v xml:space="preserve"> </v>
      </c>
      <c r="AR48" s="6">
        <v>18</v>
      </c>
    </row>
    <row r="49" spans="1:44" ht="13" x14ac:dyDescent="0.25">
      <c r="A49" s="607" t="s">
        <v>611</v>
      </c>
      <c r="B49" s="27" t="s">
        <v>43</v>
      </c>
      <c r="C49" s="27" t="s">
        <v>623</v>
      </c>
      <c r="D49" s="27">
        <v>200870</v>
      </c>
      <c r="E49" s="27" t="s">
        <v>52</v>
      </c>
      <c r="F49" s="27" t="s">
        <v>50</v>
      </c>
      <c r="G49" s="27" t="s">
        <v>6</v>
      </c>
      <c r="H49" s="608">
        <v>45209</v>
      </c>
      <c r="I49" s="63">
        <v>25</v>
      </c>
      <c r="J49" s="608">
        <v>45210</v>
      </c>
      <c r="K49" s="63">
        <v>20</v>
      </c>
      <c r="L49" s="608"/>
      <c r="M49" s="63"/>
      <c r="N49" s="608"/>
      <c r="O49" s="63"/>
      <c r="P49" s="608"/>
      <c r="Q49" s="63"/>
      <c r="R49" s="63">
        <f>Table4[[#This Row],[Initial Acres]]+Table4[[#This Row],[Day 2 
Acres]]+Table4[[#This Row],[Day 3
Acres]]+Table4[[#This Row],[Day 4
Acres]]+Table4[[#This Row],[Day 5 
Acres]]</f>
        <v>45</v>
      </c>
      <c r="S49" s="27" t="str">
        <f>IF($R49&lt;=0, " ",IF($R49&lt;=0.25, "A",IF($R49&lt;10, "B",IF($R49&lt;100, "C", IF($R49&lt;300, "D",IF($R49&lt;1000, "E",IF($R49&lt;5000,"F",IF($R49&gt;=5000, "G"))))))))</f>
        <v>C</v>
      </c>
      <c r="T49" s="27"/>
      <c r="U49" s="27" t="s">
        <v>508</v>
      </c>
      <c r="V49" s="27"/>
      <c r="W49" s="27" t="s">
        <v>107</v>
      </c>
      <c r="X49" s="27" t="s">
        <v>107</v>
      </c>
      <c r="Y49" s="27"/>
      <c r="Z49" s="610"/>
      <c r="AA49" s="6"/>
      <c r="AB49" s="857"/>
      <c r="AC49" s="858"/>
      <c r="AD49" s="858"/>
      <c r="AE49" s="859"/>
      <c r="AF49" s="592" t="s">
        <v>217</v>
      </c>
      <c r="AG49" s="591">
        <f>COUNTIFS(T4:T144,"Broadcast",F4:F144,AF49,W4:W144,"y",B4:B144,"y")</f>
        <v>1</v>
      </c>
      <c r="AH49" s="582">
        <f>COUNTIFS(T4:T144,"Hand Piles",E4:E144,AF49,W4:W144,"y",B4:B144,"y")</f>
        <v>1</v>
      </c>
      <c r="AI49" s="588">
        <f>COUNTIFS(T4:T144,"Landing Piles",E4:E144,AF49,W4:W144,"y",B4:B144,"y")</f>
        <v>2</v>
      </c>
      <c r="AK49" s="557">
        <f t="shared" si="0"/>
        <v>45209</v>
      </c>
      <c r="AL49" s="321">
        <f t="shared" si="1"/>
        <v>45210</v>
      </c>
      <c r="AM49" s="321" t="str">
        <f t="shared" si="2"/>
        <v xml:space="preserve"> </v>
      </c>
      <c r="AN49" s="321" t="str">
        <f t="shared" si="3"/>
        <v xml:space="preserve"> </v>
      </c>
      <c r="AO49" s="558" t="str">
        <f t="shared" si="4"/>
        <v xml:space="preserve"> </v>
      </c>
      <c r="AR49" s="6">
        <v>18</v>
      </c>
    </row>
    <row r="50" spans="1:44" ht="13" x14ac:dyDescent="0.25">
      <c r="A50" s="607" t="s">
        <v>510</v>
      </c>
      <c r="B50" s="27" t="s">
        <v>43</v>
      </c>
      <c r="C50" s="27" t="s">
        <v>624</v>
      </c>
      <c r="D50" s="27">
        <v>200880</v>
      </c>
      <c r="E50" s="27" t="s">
        <v>52</v>
      </c>
      <c r="F50" s="27" t="s">
        <v>41</v>
      </c>
      <c r="G50" s="27" t="s">
        <v>6</v>
      </c>
      <c r="H50" s="608">
        <v>45210</v>
      </c>
      <c r="I50" s="63">
        <v>5</v>
      </c>
      <c r="J50" s="608"/>
      <c r="K50" s="63"/>
      <c r="L50" s="608"/>
      <c r="M50" s="63"/>
      <c r="N50" s="608"/>
      <c r="O50" s="63"/>
      <c r="P50" s="608"/>
      <c r="Q50" s="63"/>
      <c r="R50" s="63">
        <f>Table4[[#This Row],[Initial Acres]]+Table4[[#This Row],[Day 2 
Acres]]+Table4[[#This Row],[Day 3
Acres]]+Table4[[#This Row],[Day 4
Acres]]+Table4[[#This Row],[Day 5 
Acres]]</f>
        <v>5</v>
      </c>
      <c r="S50" s="27" t="str">
        <f>IF($R50&lt;=0, " ",IF($R50&lt;=0.25, "A",IF($R50&lt;10, "B",IF($R50&lt;100, "C", IF($R50&lt;300, "D",IF($R50&lt;1000, "E",IF($R50&lt;5000,"F",IF($R50&gt;=5000, "G"))))))))</f>
        <v>B</v>
      </c>
      <c r="T50" s="27" t="s">
        <v>512</v>
      </c>
      <c r="U50" s="27" t="s">
        <v>508</v>
      </c>
      <c r="V50" s="27"/>
      <c r="W50" s="27" t="s">
        <v>107</v>
      </c>
      <c r="X50" s="27" t="s">
        <v>107</v>
      </c>
      <c r="Y50" s="27"/>
      <c r="Z50" s="610"/>
      <c r="AA50" s="6"/>
      <c r="AB50" s="280"/>
      <c r="AK50" s="557">
        <f t="shared" si="0"/>
        <v>45210</v>
      </c>
      <c r="AL50" s="321" t="str">
        <f t="shared" si="1"/>
        <v xml:space="preserve"> </v>
      </c>
      <c r="AM50" s="321" t="str">
        <f t="shared" si="2"/>
        <v xml:space="preserve"> </v>
      </c>
      <c r="AN50" s="321" t="str">
        <f t="shared" si="3"/>
        <v xml:space="preserve"> </v>
      </c>
      <c r="AO50" s="558" t="str">
        <f t="shared" si="4"/>
        <v xml:space="preserve"> </v>
      </c>
      <c r="AR50" s="6">
        <v>18</v>
      </c>
    </row>
    <row r="51" spans="1:44" ht="15.5" x14ac:dyDescent="0.25">
      <c r="A51" s="607" t="s">
        <v>521</v>
      </c>
      <c r="B51" s="27" t="s">
        <v>43</v>
      </c>
      <c r="C51" s="27" t="s">
        <v>625</v>
      </c>
      <c r="D51" s="27">
        <v>200883</v>
      </c>
      <c r="E51" s="27" t="s">
        <v>52</v>
      </c>
      <c r="F51" s="27" t="s">
        <v>65</v>
      </c>
      <c r="G51" s="27" t="s">
        <v>506</v>
      </c>
      <c r="H51" s="608">
        <v>45210</v>
      </c>
      <c r="I51" s="63">
        <v>20</v>
      </c>
      <c r="J51" s="608"/>
      <c r="K51" s="63"/>
      <c r="L51" s="608"/>
      <c r="M51" s="63"/>
      <c r="N51" s="608"/>
      <c r="O51" s="63"/>
      <c r="P51" s="608"/>
      <c r="Q51" s="63"/>
      <c r="R51" s="63">
        <f>Table4[[#This Row],[Initial Acres]]+Table4[[#This Row],[Day 2 
Acres]]+Table4[[#This Row],[Day 3
Acres]]+Table4[[#This Row],[Day 4
Acres]]+Table4[[#This Row],[Day 5 
Acres]]</f>
        <v>20</v>
      </c>
      <c r="S51" s="27" t="str">
        <f>IF($R51&lt;=0, " ",IF($R51&lt;=0.25, "A",IF($R51&lt;10, "B",IF($R51&lt;100, "C", IF($R51&lt;300, "D",IF($R51&lt;1000, "E",IF($R51&lt;5000,"F",IF($R51&gt;=5000, "G"))))))))</f>
        <v>C</v>
      </c>
      <c r="T51" s="27" t="s">
        <v>512</v>
      </c>
      <c r="U51" s="27" t="s">
        <v>508</v>
      </c>
      <c r="V51" s="27"/>
      <c r="W51" s="27" t="s">
        <v>107</v>
      </c>
      <c r="X51" s="27" t="s">
        <v>107</v>
      </c>
      <c r="Y51" s="27"/>
      <c r="Z51" s="610"/>
      <c r="AA51" s="6"/>
      <c r="AB51" s="744" t="s">
        <v>626</v>
      </c>
      <c r="AC51" s="745"/>
      <c r="AD51" s="745"/>
      <c r="AE51" s="745"/>
      <c r="AF51" s="745"/>
      <c r="AG51" s="745"/>
      <c r="AH51" s="745"/>
      <c r="AI51" s="746"/>
      <c r="AK51" s="557">
        <f t="shared" si="0"/>
        <v>45210</v>
      </c>
      <c r="AL51" s="321" t="str">
        <f t="shared" si="1"/>
        <v xml:space="preserve"> </v>
      </c>
      <c r="AM51" s="321" t="str">
        <f t="shared" si="2"/>
        <v xml:space="preserve"> </v>
      </c>
      <c r="AN51" s="321" t="str">
        <f t="shared" si="3"/>
        <v xml:space="preserve"> </v>
      </c>
      <c r="AO51" s="558" t="str">
        <f t="shared" si="4"/>
        <v xml:space="preserve"> </v>
      </c>
      <c r="AR51" s="6">
        <v>18</v>
      </c>
    </row>
    <row r="52" spans="1:44" ht="15.5" x14ac:dyDescent="0.25">
      <c r="A52" s="607" t="s">
        <v>532</v>
      </c>
      <c r="B52" s="27" t="s">
        <v>43</v>
      </c>
      <c r="C52" s="27" t="s">
        <v>627</v>
      </c>
      <c r="D52" s="27">
        <v>200885</v>
      </c>
      <c r="E52" s="27" t="s">
        <v>52</v>
      </c>
      <c r="F52" s="27" t="s">
        <v>143</v>
      </c>
      <c r="G52" s="27" t="s">
        <v>6</v>
      </c>
      <c r="H52" s="608">
        <v>45210</v>
      </c>
      <c r="I52" s="63">
        <v>15</v>
      </c>
      <c r="J52" s="608">
        <v>45229</v>
      </c>
      <c r="K52" s="63">
        <v>50</v>
      </c>
      <c r="L52" s="608"/>
      <c r="M52" s="63"/>
      <c r="N52" s="608"/>
      <c r="O52" s="63"/>
      <c r="P52" s="608"/>
      <c r="Q52" s="63"/>
      <c r="R52" s="63">
        <f>Table4[[#This Row],[Initial Acres]]+Table4[[#This Row],[Day 2 
Acres]]+Table4[[#This Row],[Day 3
Acres]]+Table4[[#This Row],[Day 4
Acres]]+Table4[[#This Row],[Day 5 
Acres]]</f>
        <v>65</v>
      </c>
      <c r="S52" s="27" t="str">
        <f>IF($R52&lt;=0, " ",IF($R52&lt;=0.25, "A",IF($R52&lt;10, "B",IF($R52&lt;100, "C", IF($R52&lt;300, "D",IF($R52&lt;1000, "E",IF($R52&lt;5000,"F",IF($R52&gt;=5000, "G"))))))))</f>
        <v>C</v>
      </c>
      <c r="T52" s="27" t="s">
        <v>507</v>
      </c>
      <c r="U52" s="27" t="s">
        <v>508</v>
      </c>
      <c r="V52" s="27"/>
      <c r="W52" s="27" t="s">
        <v>107</v>
      </c>
      <c r="X52" s="27" t="s">
        <v>107</v>
      </c>
      <c r="Y52" s="27"/>
      <c r="Z52" s="610"/>
      <c r="AA52" s="6"/>
      <c r="AB52" s="744" t="s">
        <v>573</v>
      </c>
      <c r="AC52" s="745"/>
      <c r="AD52" s="745"/>
      <c r="AE52" s="746"/>
      <c r="AF52" s="744" t="s">
        <v>574</v>
      </c>
      <c r="AG52" s="745"/>
      <c r="AH52" s="745"/>
      <c r="AI52" s="746"/>
      <c r="AK52" s="557">
        <f t="shared" si="0"/>
        <v>45210</v>
      </c>
      <c r="AL52" s="321">
        <f t="shared" si="1"/>
        <v>45229</v>
      </c>
      <c r="AM52" s="321" t="str">
        <f t="shared" si="2"/>
        <v xml:space="preserve"> </v>
      </c>
      <c r="AN52" s="321" t="str">
        <f t="shared" si="3"/>
        <v xml:space="preserve"> </v>
      </c>
      <c r="AO52" s="558" t="str">
        <f t="shared" si="4"/>
        <v xml:space="preserve"> </v>
      </c>
      <c r="AR52" s="6">
        <v>18</v>
      </c>
    </row>
    <row r="53" spans="1:44" ht="13" x14ac:dyDescent="0.25">
      <c r="A53" s="607" t="s">
        <v>510</v>
      </c>
      <c r="B53" s="27" t="s">
        <v>43</v>
      </c>
      <c r="C53" s="27" t="s">
        <v>628</v>
      </c>
      <c r="D53" s="27">
        <v>200887</v>
      </c>
      <c r="E53" s="27" t="s">
        <v>52</v>
      </c>
      <c r="F53" s="27" t="s">
        <v>41</v>
      </c>
      <c r="G53" s="27" t="s">
        <v>6</v>
      </c>
      <c r="H53" s="608">
        <v>45210</v>
      </c>
      <c r="I53" s="63">
        <v>10</v>
      </c>
      <c r="J53" s="608"/>
      <c r="K53" s="63"/>
      <c r="L53" s="608"/>
      <c r="M53" s="63"/>
      <c r="N53" s="608"/>
      <c r="O53" s="63"/>
      <c r="P53" s="608"/>
      <c r="Q53" s="63"/>
      <c r="R53" s="63">
        <f>Table4[[#This Row],[Initial Acres]]+Table4[[#This Row],[Day 2 
Acres]]+Table4[[#This Row],[Day 3
Acres]]+Table4[[#This Row],[Day 4
Acres]]+Table4[[#This Row],[Day 5 
Acres]]</f>
        <v>10</v>
      </c>
      <c r="S53" s="27" t="str">
        <f>IF($R53&lt;=0, " ",IF($R53&lt;=0.25, "A",IF($R53&lt;10, "B",IF($R53&lt;100, "C", IF($R53&lt;300, "D",IF($R53&lt;1000, "E",IF($R53&lt;5000,"F",IF($R53&gt;=5000, "G"))))))))</f>
        <v>C</v>
      </c>
      <c r="T53" s="27" t="s">
        <v>512</v>
      </c>
      <c r="U53" s="27" t="s">
        <v>508</v>
      </c>
      <c r="V53" s="27"/>
      <c r="W53" s="27" t="s">
        <v>107</v>
      </c>
      <c r="X53" s="27" t="s">
        <v>107</v>
      </c>
      <c r="Y53" s="27" t="s">
        <v>629</v>
      </c>
      <c r="Z53" s="610"/>
      <c r="AA53" s="6"/>
      <c r="AB53" s="575"/>
      <c r="AC53" s="574" t="s">
        <v>604</v>
      </c>
      <c r="AD53" s="574" t="s">
        <v>630</v>
      </c>
      <c r="AE53" s="845"/>
      <c r="AF53" s="581"/>
      <c r="AG53" s="574" t="s">
        <v>604</v>
      </c>
      <c r="AH53" s="574" t="s">
        <v>630</v>
      </c>
      <c r="AI53" s="845"/>
      <c r="AK53" s="557">
        <f t="shared" si="0"/>
        <v>45210</v>
      </c>
      <c r="AL53" s="321" t="str">
        <f t="shared" si="1"/>
        <v xml:space="preserve"> </v>
      </c>
      <c r="AM53" s="321" t="str">
        <f t="shared" si="2"/>
        <v xml:space="preserve"> </v>
      </c>
      <c r="AN53" s="321" t="str">
        <f t="shared" si="3"/>
        <v xml:space="preserve"> </v>
      </c>
      <c r="AO53" s="558" t="str">
        <f t="shared" si="4"/>
        <v xml:space="preserve"> </v>
      </c>
      <c r="AR53" s="6">
        <v>18</v>
      </c>
    </row>
    <row r="54" spans="1:44" ht="13" x14ac:dyDescent="0.25">
      <c r="A54" s="607" t="s">
        <v>611</v>
      </c>
      <c r="B54" s="27" t="s">
        <v>43</v>
      </c>
      <c r="C54" s="27" t="s">
        <v>631</v>
      </c>
      <c r="D54" s="27">
        <v>200890</v>
      </c>
      <c r="E54" s="27" t="s">
        <v>52</v>
      </c>
      <c r="F54" s="27" t="s">
        <v>50</v>
      </c>
      <c r="G54" s="27" t="s">
        <v>506</v>
      </c>
      <c r="H54" s="608">
        <v>45211</v>
      </c>
      <c r="I54" s="63">
        <v>8</v>
      </c>
      <c r="J54" s="608">
        <v>45223</v>
      </c>
      <c r="K54" s="63">
        <v>9</v>
      </c>
      <c r="L54" s="608"/>
      <c r="M54" s="63"/>
      <c r="N54" s="608"/>
      <c r="O54" s="63"/>
      <c r="P54" s="608"/>
      <c r="Q54" s="63"/>
      <c r="R54" s="63">
        <f>Table4[[#This Row],[Initial Acres]]+Table4[[#This Row],[Day 2 
Acres]]+Table4[[#This Row],[Day 3
Acres]]+Table4[[#This Row],[Day 4
Acres]]+Table4[[#This Row],[Day 5 
Acres]]</f>
        <v>17</v>
      </c>
      <c r="S54" s="27" t="str">
        <f>IF($R54&lt;=0, " ",IF($R54&lt;=0.25, "A",IF($R54&lt;10, "B",IF($R54&lt;100, "C", IF($R54&lt;300, "D",IF($R54&lt;1000, "E",IF($R54&lt;5000,"F",IF($R54&gt;=5000, "G"))))))))</f>
        <v>C</v>
      </c>
      <c r="T54" s="27" t="s">
        <v>512</v>
      </c>
      <c r="U54" s="27" t="s">
        <v>508</v>
      </c>
      <c r="V54" s="27"/>
      <c r="W54" s="27" t="s">
        <v>107</v>
      </c>
      <c r="X54" s="27" t="s">
        <v>107</v>
      </c>
      <c r="Y54" s="27"/>
      <c r="Z54" s="610"/>
      <c r="AA54" s="6"/>
      <c r="AB54" s="576" t="s">
        <v>52</v>
      </c>
      <c r="AC54" s="551">
        <f>COUNTIFS(U4:U144,"Hand",E4:E144,AB54,W4:W144,"Y",B4:B144,"y")</f>
        <v>16</v>
      </c>
      <c r="AD54" s="552">
        <f>COUNTIFS(U4:U144,"Aerial",E4:E144,AB54,W4:W144,"Y",B4:B144,"y")</f>
        <v>3</v>
      </c>
      <c r="AE54" s="846"/>
      <c r="AF54" s="578" t="s">
        <v>65</v>
      </c>
      <c r="AG54" s="589">
        <f>COUNTIFS(U4:U144,"Hand",F4:F144,AF54,W4:W144,"Y",B4:B144,"Y")</f>
        <v>2</v>
      </c>
      <c r="AH54" s="552">
        <f>COUNTIFS(U4:U144,"Aerial",F4:F144,AF54,W4:W144,"Y",B4:B144,"Y")</f>
        <v>1</v>
      </c>
      <c r="AI54" s="846"/>
      <c r="AK54" s="557">
        <f t="shared" si="0"/>
        <v>45211</v>
      </c>
      <c r="AL54" s="321">
        <f t="shared" si="1"/>
        <v>45223</v>
      </c>
      <c r="AM54" s="321" t="str">
        <f t="shared" si="2"/>
        <v xml:space="preserve"> </v>
      </c>
      <c r="AN54" s="321" t="str">
        <f t="shared" si="3"/>
        <v xml:space="preserve"> </v>
      </c>
      <c r="AO54" s="558" t="str">
        <f t="shared" si="4"/>
        <v xml:space="preserve"> </v>
      </c>
      <c r="AR54" s="6">
        <v>18</v>
      </c>
    </row>
    <row r="55" spans="1:44" ht="13" x14ac:dyDescent="0.25">
      <c r="A55" s="607" t="s">
        <v>510</v>
      </c>
      <c r="B55" s="27" t="s">
        <v>43</v>
      </c>
      <c r="C55" s="27" t="s">
        <v>632</v>
      </c>
      <c r="D55" s="27">
        <v>200891</v>
      </c>
      <c r="E55" s="27" t="s">
        <v>52</v>
      </c>
      <c r="F55" s="27" t="s">
        <v>41</v>
      </c>
      <c r="G55" s="27" t="s">
        <v>6</v>
      </c>
      <c r="H55" s="608">
        <v>45211</v>
      </c>
      <c r="I55" s="63">
        <v>20</v>
      </c>
      <c r="J55" s="608">
        <v>45223</v>
      </c>
      <c r="K55" s="63">
        <v>10</v>
      </c>
      <c r="L55" s="608"/>
      <c r="M55" s="63"/>
      <c r="N55" s="608"/>
      <c r="O55" s="63"/>
      <c r="P55" s="608"/>
      <c r="Q55" s="63"/>
      <c r="R55" s="63">
        <f>Table4[[#This Row],[Initial Acres]]+Table4[[#This Row],[Day 2 
Acres]]+Table4[[#This Row],[Day 3
Acres]]+Table4[[#This Row],[Day 4
Acres]]+Table4[[#This Row],[Day 5 
Acres]]</f>
        <v>30</v>
      </c>
      <c r="S55" s="27" t="str">
        <f>IF($R55&lt;=0, " ",IF($R55&lt;=0.25, "A",IF($R55&lt;10, "B",IF($R55&lt;100, "C", IF($R55&lt;300, "D",IF($R55&lt;1000, "E",IF($R55&lt;5000,"F",IF($R55&gt;=5000, "G"))))))))</f>
        <v>C</v>
      </c>
      <c r="T55" s="27" t="s">
        <v>512</v>
      </c>
      <c r="U55" s="27" t="s">
        <v>508</v>
      </c>
      <c r="V55" s="27"/>
      <c r="W55" s="27" t="s">
        <v>107</v>
      </c>
      <c r="X55" s="27" t="s">
        <v>107</v>
      </c>
      <c r="Y55" s="27"/>
      <c r="Z55" s="610"/>
      <c r="AA55" s="6"/>
      <c r="AB55" s="113" t="s">
        <v>151</v>
      </c>
      <c r="AC55" s="109">
        <f>COUNTIFS(U4:U144,"Hand",E4:E144,AB55,W4:W144,"Y",B4:B144,"y")</f>
        <v>1</v>
      </c>
      <c r="AD55" s="550">
        <f>COUNTIFS(U4:U144,"Aerial",E4:E144,AB55,W4:W144,"Y",B4:B144,"y")</f>
        <v>0</v>
      </c>
      <c r="AE55" s="846"/>
      <c r="AF55" s="579" t="s">
        <v>50</v>
      </c>
      <c r="AG55" s="590">
        <f>COUNTIFS(U4:U144,"Hand",F4:F144,AF55,W4:W144,"Y",B4:B144,"Y")</f>
        <v>2</v>
      </c>
      <c r="AH55" s="550">
        <f>COUNTIFS(U4:U144,"Aerial",F4:F144,AF55,W4:W144,"Y",B4:B144,"Y")</f>
        <v>0</v>
      </c>
      <c r="AI55" s="846"/>
      <c r="AK55" s="557">
        <f t="shared" si="0"/>
        <v>45211</v>
      </c>
      <c r="AL55" s="321">
        <f t="shared" si="1"/>
        <v>45223</v>
      </c>
      <c r="AM55" s="321" t="str">
        <f t="shared" si="2"/>
        <v xml:space="preserve"> </v>
      </c>
      <c r="AN55" s="321" t="str">
        <f t="shared" si="3"/>
        <v xml:space="preserve"> </v>
      </c>
      <c r="AO55" s="558" t="str">
        <f t="shared" si="4"/>
        <v xml:space="preserve"> </v>
      </c>
      <c r="AR55" s="6">
        <v>18</v>
      </c>
    </row>
    <row r="56" spans="1:44" ht="13" x14ac:dyDescent="0.25">
      <c r="A56" s="607" t="s">
        <v>532</v>
      </c>
      <c r="B56" s="27" t="s">
        <v>43</v>
      </c>
      <c r="C56" s="27" t="s">
        <v>633</v>
      </c>
      <c r="D56" s="27">
        <v>200892</v>
      </c>
      <c r="E56" s="27" t="s">
        <v>52</v>
      </c>
      <c r="F56" s="27" t="s">
        <v>143</v>
      </c>
      <c r="G56" s="27" t="s">
        <v>6</v>
      </c>
      <c r="H56" s="608">
        <v>45211</v>
      </c>
      <c r="I56" s="63">
        <v>20</v>
      </c>
      <c r="J56" s="608"/>
      <c r="K56" s="63"/>
      <c r="L56" s="608"/>
      <c r="M56" s="63"/>
      <c r="N56" s="608"/>
      <c r="O56" s="63"/>
      <c r="P56" s="608"/>
      <c r="Q56" s="63"/>
      <c r="R56" s="63">
        <f>Table4[[#This Row],[Initial Acres]]+Table4[[#This Row],[Day 2 
Acres]]+Table4[[#This Row],[Day 3
Acres]]+Table4[[#This Row],[Day 4
Acres]]+Table4[[#This Row],[Day 5 
Acres]]</f>
        <v>20</v>
      </c>
      <c r="S56" s="27" t="str">
        <f>IF($R56&lt;=0, " ",IF($R56&lt;=0.25, "A",IF($R56&lt;10, "B",IF($R56&lt;100, "C", IF($R56&lt;300, "D",IF($R56&lt;1000, "E",IF($R56&lt;5000,"F",IF($R56&gt;=5000, "G"))))))))</f>
        <v>C</v>
      </c>
      <c r="T56" s="27" t="s">
        <v>512</v>
      </c>
      <c r="U56" s="27" t="s">
        <v>508</v>
      </c>
      <c r="V56" s="27"/>
      <c r="W56" s="27" t="s">
        <v>107</v>
      </c>
      <c r="X56" s="27" t="s">
        <v>107</v>
      </c>
      <c r="Y56" s="27"/>
      <c r="Z56" s="610"/>
      <c r="AA56" s="6"/>
      <c r="AB56" s="577" t="s">
        <v>217</v>
      </c>
      <c r="AC56" s="110">
        <f>COUNTIFS(U4:U144,"Hand",E4:E144,AB56,W4:W144,"Y",B4:B144,"y")</f>
        <v>4</v>
      </c>
      <c r="AD56" s="553">
        <f>COUNTIFS(U4:U144,"Aerial",E4:E144,AB56,W4:W144,"Y",B4:B144,"y")</f>
        <v>0</v>
      </c>
      <c r="AE56" s="847"/>
      <c r="AF56" s="579" t="s">
        <v>41</v>
      </c>
      <c r="AG56" s="590">
        <f>COUNTIFS(U4:U144,"Hand",F4:F144,AF56,W4:W144,"Y",B4:B144,"Y")</f>
        <v>3</v>
      </c>
      <c r="AH56" s="550">
        <f>COUNTIFS(U4:U144,"Aerial",F4:F144,AF56,W4:W144,"Y",B4:B144,"Y")</f>
        <v>0</v>
      </c>
      <c r="AI56" s="846"/>
      <c r="AK56" s="557">
        <f t="shared" si="0"/>
        <v>45211</v>
      </c>
      <c r="AL56" s="321" t="str">
        <f t="shared" si="1"/>
        <v xml:space="preserve"> </v>
      </c>
      <c r="AM56" s="321" t="str">
        <f t="shared" si="2"/>
        <v xml:space="preserve"> </v>
      </c>
      <c r="AN56" s="321" t="str">
        <f t="shared" si="3"/>
        <v xml:space="preserve"> </v>
      </c>
      <c r="AO56" s="558" t="str">
        <f t="shared" si="4"/>
        <v xml:space="preserve"> </v>
      </c>
      <c r="AR56" s="6">
        <v>18</v>
      </c>
    </row>
    <row r="57" spans="1:44" ht="13" x14ac:dyDescent="0.25">
      <c r="A57" s="607" t="s">
        <v>611</v>
      </c>
      <c r="B57" s="27" t="s">
        <v>43</v>
      </c>
      <c r="C57" s="27" t="s">
        <v>634</v>
      </c>
      <c r="D57" s="27">
        <v>200893</v>
      </c>
      <c r="E57" s="27" t="s">
        <v>52</v>
      </c>
      <c r="F57" s="27" t="s">
        <v>50</v>
      </c>
      <c r="G57" s="27" t="s">
        <v>506</v>
      </c>
      <c r="H57" s="608">
        <v>45211</v>
      </c>
      <c r="I57" s="63">
        <v>10</v>
      </c>
      <c r="J57" s="608">
        <v>45222</v>
      </c>
      <c r="K57" s="63">
        <v>40</v>
      </c>
      <c r="L57" s="608">
        <v>45223</v>
      </c>
      <c r="M57" s="63">
        <v>43</v>
      </c>
      <c r="N57" s="608"/>
      <c r="O57" s="63"/>
      <c r="P57" s="608"/>
      <c r="Q57" s="63"/>
      <c r="R57" s="63">
        <f>Table4[[#This Row],[Initial Acres]]+Table4[[#This Row],[Day 2 
Acres]]+Table4[[#This Row],[Day 3
Acres]]+Table4[[#This Row],[Day 4
Acres]]+Table4[[#This Row],[Day 5 
Acres]]</f>
        <v>93</v>
      </c>
      <c r="S57" s="27" t="str">
        <f>IF($R57&lt;=0, " ",IF($R57&lt;=0.25, "A",IF($R57&lt;10, "B",IF($R57&lt;100, "C", IF($R57&lt;300, "D",IF($R57&lt;1000, "E",IF($R57&lt;5000,"F",IF($R57&gt;=5000, "G"))))))))</f>
        <v>C</v>
      </c>
      <c r="T57" s="27" t="s">
        <v>512</v>
      </c>
      <c r="U57" s="27" t="s">
        <v>508</v>
      </c>
      <c r="V57" s="27"/>
      <c r="W57" s="27" t="s">
        <v>107</v>
      </c>
      <c r="X57" s="27" t="s">
        <v>107</v>
      </c>
      <c r="Y57" s="27"/>
      <c r="Z57" s="610" t="s">
        <v>635</v>
      </c>
      <c r="AA57" s="6"/>
      <c r="AB57" s="852"/>
      <c r="AC57" s="853"/>
      <c r="AD57" s="853"/>
      <c r="AE57" s="854"/>
      <c r="AF57" s="579" t="s">
        <v>56</v>
      </c>
      <c r="AG57" s="590">
        <f>COUNTIFS(U4:U144,"Hand",F4:F144,AF57,W4:W144,"Y",B4:B144,"Y")</f>
        <v>3</v>
      </c>
      <c r="AH57" s="550">
        <f>COUNTIFS(U4:U144,"Aerial",F4:F144,AF57,W4:W144,"Y",B4:B144,"Y")</f>
        <v>0</v>
      </c>
      <c r="AI57" s="846"/>
      <c r="AK57" s="557">
        <f t="shared" si="0"/>
        <v>45211</v>
      </c>
      <c r="AL57" s="321">
        <f t="shared" si="1"/>
        <v>45222</v>
      </c>
      <c r="AM57" s="321">
        <f t="shared" si="2"/>
        <v>45223</v>
      </c>
      <c r="AN57" s="321" t="str">
        <f t="shared" si="3"/>
        <v xml:space="preserve"> </v>
      </c>
      <c r="AO57" s="558" t="str">
        <f t="shared" si="4"/>
        <v xml:space="preserve"> </v>
      </c>
      <c r="AR57" s="6">
        <v>18</v>
      </c>
    </row>
    <row r="58" spans="1:44" ht="13" x14ac:dyDescent="0.25">
      <c r="A58" s="607" t="s">
        <v>636</v>
      </c>
      <c r="B58" s="27" t="s">
        <v>107</v>
      </c>
      <c r="C58" s="27" t="s">
        <v>637</v>
      </c>
      <c r="D58" s="27">
        <v>200894</v>
      </c>
      <c r="E58" s="27" t="s">
        <v>52</v>
      </c>
      <c r="F58" s="27" t="s">
        <v>56</v>
      </c>
      <c r="G58" s="27" t="s">
        <v>6</v>
      </c>
      <c r="H58" s="608">
        <v>45224</v>
      </c>
      <c r="I58" s="63">
        <v>6</v>
      </c>
      <c r="J58" s="608"/>
      <c r="K58" s="63"/>
      <c r="L58" s="608"/>
      <c r="M58" s="63"/>
      <c r="N58" s="608"/>
      <c r="O58" s="63"/>
      <c r="P58" s="608"/>
      <c r="Q58" s="63"/>
      <c r="R58" s="63">
        <f>Table4[[#This Row],[Initial Acres]]+Table4[[#This Row],[Day 2 
Acres]]+Table4[[#This Row],[Day 3
Acres]]+Table4[[#This Row],[Day 4
Acres]]+Table4[[#This Row],[Day 5 
Acres]]</f>
        <v>6</v>
      </c>
      <c r="S58" s="27" t="str">
        <f>IF($R58&lt;=0, " ",IF($R58&lt;=0.25, "A",IF($R58&lt;10, "B",IF($R58&lt;100, "C", IF($R58&lt;300, "D",IF($R58&lt;1000, "E",IF($R58&lt;5000,"F",IF($R58&gt;=5000, "G"))))))))</f>
        <v>B</v>
      </c>
      <c r="T58" s="27" t="s">
        <v>512</v>
      </c>
      <c r="U58" s="27" t="s">
        <v>508</v>
      </c>
      <c r="V58" s="27"/>
      <c r="W58" s="27" t="s">
        <v>107</v>
      </c>
      <c r="X58" s="27" t="s">
        <v>107</v>
      </c>
      <c r="Y58" s="27"/>
      <c r="Z58" s="610"/>
      <c r="AA58" s="6"/>
      <c r="AB58" s="855"/>
      <c r="AC58" s="856"/>
      <c r="AD58" s="856"/>
      <c r="AE58" s="846"/>
      <c r="AF58" s="579" t="s">
        <v>143</v>
      </c>
      <c r="AG58" s="590">
        <f>COUNTIFS(U4:U144,"Hand",F4:F144,AF58,W4:W144,"Y",B4:B144,"Y")</f>
        <v>6</v>
      </c>
      <c r="AH58" s="550">
        <f>COUNTIFS(U4:U144,"Aerial",F4:F144,AF58,W4:W144,"Y",B4:B144,"Y")</f>
        <v>2</v>
      </c>
      <c r="AI58" s="846"/>
      <c r="AK58" s="557">
        <f t="shared" si="0"/>
        <v>45224</v>
      </c>
      <c r="AL58" s="321" t="str">
        <f t="shared" si="1"/>
        <v xml:space="preserve"> </v>
      </c>
      <c r="AM58" s="321" t="str">
        <f t="shared" si="2"/>
        <v xml:space="preserve"> </v>
      </c>
      <c r="AN58" s="321" t="str">
        <f t="shared" si="3"/>
        <v xml:space="preserve"> </v>
      </c>
      <c r="AO58" s="558" t="str">
        <f t="shared" si="4"/>
        <v xml:space="preserve"> </v>
      </c>
      <c r="AR58" s="6">
        <v>18</v>
      </c>
    </row>
    <row r="59" spans="1:44" ht="13" x14ac:dyDescent="0.25">
      <c r="A59" s="607" t="s">
        <v>638</v>
      </c>
      <c r="B59" s="27" t="s">
        <v>43</v>
      </c>
      <c r="C59" s="27" t="s">
        <v>639</v>
      </c>
      <c r="D59" s="27">
        <v>200914</v>
      </c>
      <c r="E59" s="27" t="s">
        <v>52</v>
      </c>
      <c r="F59" s="27" t="s">
        <v>65</v>
      </c>
      <c r="G59" s="27" t="s">
        <v>506</v>
      </c>
      <c r="H59" s="608">
        <v>45222</v>
      </c>
      <c r="I59" s="63">
        <v>30</v>
      </c>
      <c r="J59" s="608">
        <v>45223</v>
      </c>
      <c r="K59" s="63">
        <v>22</v>
      </c>
      <c r="L59" s="608">
        <v>45224</v>
      </c>
      <c r="M59" s="63">
        <v>20</v>
      </c>
      <c r="N59" s="608">
        <v>45229</v>
      </c>
      <c r="O59" s="63">
        <v>10</v>
      </c>
      <c r="P59" s="608"/>
      <c r="Q59" s="63"/>
      <c r="R59" s="63">
        <f>Table4[[#This Row],[Initial Acres]]+Table4[[#This Row],[Day 2 
Acres]]+Table4[[#This Row],[Day 3
Acres]]+Table4[[#This Row],[Day 4
Acres]]+Table4[[#This Row],[Day 5 
Acres]]</f>
        <v>82</v>
      </c>
      <c r="S59" s="27" t="str">
        <f>IF($R59&lt;=0, " ",IF($R59&lt;=0.25, "A",IF($R59&lt;10, "B",IF($R59&lt;100, "C", IF($R59&lt;300, "D",IF($R59&lt;1000, "E",IF($R59&lt;5000,"F",IF($R59&gt;=5000, "G"))))))))</f>
        <v>C</v>
      </c>
      <c r="T59" s="27" t="s">
        <v>512</v>
      </c>
      <c r="U59" s="27" t="s">
        <v>508</v>
      </c>
      <c r="V59" s="27"/>
      <c r="W59" s="27" t="s">
        <v>107</v>
      </c>
      <c r="X59" s="27" t="s">
        <v>107</v>
      </c>
      <c r="Y59" s="27" t="s">
        <v>640</v>
      </c>
      <c r="Z59" s="610"/>
      <c r="AA59" s="6"/>
      <c r="AB59" s="855"/>
      <c r="AC59" s="856"/>
      <c r="AD59" s="856"/>
      <c r="AE59" s="846"/>
      <c r="AF59" s="579" t="s">
        <v>358</v>
      </c>
      <c r="AG59" s="590">
        <f>COUNTIFS(U4:U144,"Hand",F4:F144,AF59,W4:W144,"Y",B4:B144,"Y")</f>
        <v>0</v>
      </c>
      <c r="AH59" s="550">
        <f>COUNTIFS(U4:U144,"Aerial",F4:F144,AF59,W4:W144,"Y",B4:B144,"Y")</f>
        <v>0</v>
      </c>
      <c r="AI59" s="846"/>
      <c r="AK59" s="557">
        <f t="shared" si="0"/>
        <v>45222</v>
      </c>
      <c r="AL59" s="321">
        <f t="shared" si="1"/>
        <v>45223</v>
      </c>
      <c r="AM59" s="321">
        <f t="shared" si="2"/>
        <v>45224</v>
      </c>
      <c r="AN59" s="321">
        <f t="shared" si="3"/>
        <v>45229</v>
      </c>
      <c r="AO59" s="558" t="str">
        <f t="shared" si="4"/>
        <v xml:space="preserve"> </v>
      </c>
      <c r="AR59" s="6">
        <v>18</v>
      </c>
    </row>
    <row r="60" spans="1:44" ht="13" x14ac:dyDescent="0.25">
      <c r="A60" s="607" t="s">
        <v>532</v>
      </c>
      <c r="B60" s="27" t="s">
        <v>43</v>
      </c>
      <c r="C60" s="27" t="s">
        <v>641</v>
      </c>
      <c r="D60" s="27">
        <v>200915</v>
      </c>
      <c r="E60" s="27" t="s">
        <v>52</v>
      </c>
      <c r="F60" s="27" t="s">
        <v>143</v>
      </c>
      <c r="G60" s="27" t="s">
        <v>6</v>
      </c>
      <c r="H60" s="608">
        <v>45222</v>
      </c>
      <c r="I60" s="63">
        <v>30</v>
      </c>
      <c r="J60" s="608"/>
      <c r="K60" s="63"/>
      <c r="L60" s="608"/>
      <c r="M60" s="63"/>
      <c r="N60" s="608"/>
      <c r="O60" s="63"/>
      <c r="P60" s="608"/>
      <c r="Q60" s="63"/>
      <c r="R60" s="63">
        <f>Table4[[#This Row],[Initial Acres]]+Table4[[#This Row],[Day 2 
Acres]]+Table4[[#This Row],[Day 3
Acres]]+Table4[[#This Row],[Day 4
Acres]]+Table4[[#This Row],[Day 5 
Acres]]</f>
        <v>30</v>
      </c>
      <c r="S60" s="27" t="str">
        <f>IF($R60&lt;=0, " ",IF($R60&lt;=0.25, "A",IF($R60&lt;10, "B",IF($R60&lt;100, "C", IF($R60&lt;300, "D",IF($R60&lt;1000, "E",IF($R60&lt;5000,"F",IF($R60&gt;=5000, "G"))))))))</f>
        <v>C</v>
      </c>
      <c r="T60" s="27" t="s">
        <v>507</v>
      </c>
      <c r="U60" s="27" t="s">
        <v>508</v>
      </c>
      <c r="V60" s="27"/>
      <c r="W60" s="27" t="s">
        <v>107</v>
      </c>
      <c r="X60" s="27" t="s">
        <v>107</v>
      </c>
      <c r="Y60" s="27"/>
      <c r="Z60" s="610"/>
      <c r="AA60" s="6"/>
      <c r="AB60" s="855"/>
      <c r="AC60" s="856"/>
      <c r="AD60" s="856"/>
      <c r="AE60" s="846"/>
      <c r="AF60" s="579" t="s">
        <v>75</v>
      </c>
      <c r="AG60" s="590">
        <f>COUNTIFS(U4:U144,"Hand",F4:F144,AF60,W4:W144,"Y",B4:B144,"Y")</f>
        <v>1</v>
      </c>
      <c r="AH60" s="550">
        <f>COUNTIFS(U4:U144,"Aerial",F4:F144,AF60,W4:W144,"Y",B4:B144,"Y")</f>
        <v>0</v>
      </c>
      <c r="AI60" s="846"/>
      <c r="AK60" s="557">
        <f t="shared" si="0"/>
        <v>45222</v>
      </c>
      <c r="AL60" s="321" t="str">
        <f t="shared" si="1"/>
        <v xml:space="preserve"> </v>
      </c>
      <c r="AM60" s="321" t="str">
        <f t="shared" si="2"/>
        <v xml:space="preserve"> </v>
      </c>
      <c r="AN60" s="321" t="str">
        <f t="shared" si="3"/>
        <v xml:space="preserve"> </v>
      </c>
      <c r="AO60" s="558" t="str">
        <f t="shared" si="4"/>
        <v xml:space="preserve"> </v>
      </c>
      <c r="AR60" s="6">
        <v>18</v>
      </c>
    </row>
    <row r="61" spans="1:44" ht="13" x14ac:dyDescent="0.25">
      <c r="A61" s="607" t="s">
        <v>510</v>
      </c>
      <c r="B61" s="27" t="s">
        <v>43</v>
      </c>
      <c r="C61" s="27" t="s">
        <v>642</v>
      </c>
      <c r="D61" s="27">
        <v>200916</v>
      </c>
      <c r="E61" s="27" t="s">
        <v>52</v>
      </c>
      <c r="F61" s="27" t="s">
        <v>41</v>
      </c>
      <c r="G61" s="27" t="s">
        <v>6</v>
      </c>
      <c r="H61" s="608">
        <v>45223</v>
      </c>
      <c r="I61" s="63">
        <v>10</v>
      </c>
      <c r="J61" s="608">
        <v>45230</v>
      </c>
      <c r="K61" s="63">
        <v>25</v>
      </c>
      <c r="L61" s="608">
        <v>45231</v>
      </c>
      <c r="M61" s="63">
        <v>25</v>
      </c>
      <c r="N61" s="608">
        <v>45237</v>
      </c>
      <c r="O61" s="63">
        <v>20</v>
      </c>
      <c r="P61" s="608">
        <v>45238</v>
      </c>
      <c r="Q61" s="63">
        <v>20</v>
      </c>
      <c r="R61" s="63">
        <f>Table4[[#This Row],[Initial Acres]]+Table4[[#This Row],[Day 2 
Acres]]+Table4[[#This Row],[Day 3
Acres]]+Table4[[#This Row],[Day 4
Acres]]+Table4[[#This Row],[Day 5 
Acres]]</f>
        <v>100</v>
      </c>
      <c r="S61" s="27" t="str">
        <f>IF($R61&lt;=0, " ",IF($R61&lt;=0.25, "A",IF($R61&lt;10, "B",IF($R61&lt;100, "C", IF($R61&lt;300, "D",IF($R61&lt;1000, "E",IF($R61&lt;5000,"F",IF($R61&gt;=5000, "G"))))))))</f>
        <v>D</v>
      </c>
      <c r="T61" s="27" t="s">
        <v>507</v>
      </c>
      <c r="U61" s="27" t="s">
        <v>508</v>
      </c>
      <c r="V61" s="27"/>
      <c r="W61" s="27" t="s">
        <v>107</v>
      </c>
      <c r="X61" s="27" t="s">
        <v>107</v>
      </c>
      <c r="Y61" s="637" t="s">
        <v>643</v>
      </c>
      <c r="Z61" s="610"/>
      <c r="AA61" s="6"/>
      <c r="AB61" s="857"/>
      <c r="AC61" s="858"/>
      <c r="AD61" s="858"/>
      <c r="AE61" s="859"/>
      <c r="AF61" s="592" t="s">
        <v>217</v>
      </c>
      <c r="AG61" s="591">
        <f>COUNTIFS(U4:U144,"Hand",F4:F144,AF61,W4:W144,"Y",B4:B144,"Y")</f>
        <v>4</v>
      </c>
      <c r="AH61" s="582">
        <f>COUNTIFS(U4:U144,"Aerial",F4:F144,AF61,W4:W144,"Y",B4:B144,"Y")</f>
        <v>0</v>
      </c>
      <c r="AI61" s="859"/>
      <c r="AK61" s="557">
        <f t="shared" si="0"/>
        <v>45223</v>
      </c>
      <c r="AL61" s="321">
        <f t="shared" si="1"/>
        <v>45230</v>
      </c>
      <c r="AM61" s="321">
        <f t="shared" si="2"/>
        <v>45231</v>
      </c>
      <c r="AN61" s="321">
        <f t="shared" si="3"/>
        <v>45237</v>
      </c>
      <c r="AO61" s="558">
        <f t="shared" si="4"/>
        <v>45238</v>
      </c>
      <c r="AR61" s="6">
        <v>18</v>
      </c>
    </row>
    <row r="62" spans="1:44" ht="13" x14ac:dyDescent="0.25">
      <c r="A62" s="607" t="s">
        <v>650</v>
      </c>
      <c r="B62" s="27" t="s">
        <v>43</v>
      </c>
      <c r="C62" s="27" t="s">
        <v>1131</v>
      </c>
      <c r="D62" s="27">
        <v>200917</v>
      </c>
      <c r="E62" s="27" t="s">
        <v>52</v>
      </c>
      <c r="F62" s="27" t="s">
        <v>50</v>
      </c>
      <c r="G62" s="27" t="s">
        <v>506</v>
      </c>
      <c r="H62" s="608">
        <v>45230</v>
      </c>
      <c r="I62" s="63">
        <v>1</v>
      </c>
      <c r="J62" s="608"/>
      <c r="K62" s="63"/>
      <c r="L62" s="608"/>
      <c r="M62" s="63"/>
      <c r="N62" s="608"/>
      <c r="O62" s="63"/>
      <c r="P62" s="608"/>
      <c r="Q62" s="63"/>
      <c r="R62" s="63">
        <f>Table4[[#This Row],[Initial Acres]]+Table4[[#This Row],[Day 2 
Acres]]+Table4[[#This Row],[Day 3
Acres]]+Table4[[#This Row],[Day 4
Acres]]+Table4[[#This Row],[Day 5 
Acres]]</f>
        <v>1</v>
      </c>
      <c r="S62" s="27" t="str">
        <f>IF($R62&lt;=0, " ",IF($R62&lt;=0.25, "A",IF($R62&lt;10, "B",IF($R62&lt;100, "C", IF($R62&lt;300, "D",IF($R62&lt;1000, "E",IF($R62&lt;5000,"F",IF($R62&gt;=5000, "G"))))))))</f>
        <v>B</v>
      </c>
      <c r="T62" s="27"/>
      <c r="U62" s="27" t="s">
        <v>508</v>
      </c>
      <c r="V62" s="27"/>
      <c r="W62" s="27" t="s">
        <v>107</v>
      </c>
      <c r="X62" s="27" t="s">
        <v>107</v>
      </c>
      <c r="Y62" s="27"/>
      <c r="Z62" s="610"/>
      <c r="AA62" s="6"/>
      <c r="AK62" s="557">
        <f t="shared" si="0"/>
        <v>45230</v>
      </c>
      <c r="AL62" s="321" t="str">
        <f t="shared" si="1"/>
        <v xml:space="preserve"> </v>
      </c>
      <c r="AM62" s="321" t="str">
        <f t="shared" si="2"/>
        <v xml:space="preserve"> </v>
      </c>
      <c r="AN62" s="321" t="str">
        <f t="shared" si="3"/>
        <v xml:space="preserve"> </v>
      </c>
      <c r="AO62" s="558" t="str">
        <f t="shared" si="4"/>
        <v xml:space="preserve"> </v>
      </c>
      <c r="AR62" s="6">
        <v>18</v>
      </c>
    </row>
    <row r="63" spans="1:44" ht="13" x14ac:dyDescent="0.25">
      <c r="A63" s="635" t="s">
        <v>532</v>
      </c>
      <c r="B63" s="27" t="s">
        <v>43</v>
      </c>
      <c r="C63" s="27" t="s">
        <v>644</v>
      </c>
      <c r="D63" s="27">
        <v>200918</v>
      </c>
      <c r="E63" s="27" t="s">
        <v>52</v>
      </c>
      <c r="F63" s="27" t="s">
        <v>143</v>
      </c>
      <c r="G63" s="27" t="s">
        <v>506</v>
      </c>
      <c r="H63" s="608">
        <v>45223</v>
      </c>
      <c r="I63" s="63">
        <v>15</v>
      </c>
      <c r="J63" s="608">
        <v>45230</v>
      </c>
      <c r="K63" s="63">
        <v>1</v>
      </c>
      <c r="L63" s="608"/>
      <c r="M63" s="63"/>
      <c r="N63" s="608"/>
      <c r="O63" s="63"/>
      <c r="P63" s="608"/>
      <c r="Q63" s="63"/>
      <c r="R63" s="63">
        <f>Table4[[#This Row],[Initial Acres]]+Table4[[#This Row],[Day 2 
Acres]]+Table4[[#This Row],[Day 3
Acres]]+Table4[[#This Row],[Day 4
Acres]]+Table4[[#This Row],[Day 5 
Acres]]</f>
        <v>16</v>
      </c>
      <c r="S63" s="27" t="str">
        <f>IF($R63&lt;=0, " ",IF($R63&lt;=0.25, "A",IF($R63&lt;10, "B",IF($R63&lt;100, "C", IF($R63&lt;300, "D",IF($R63&lt;1000, "E",IF($R63&lt;5000,"F",IF($R63&gt;=5000, "G"))))))))</f>
        <v>C</v>
      </c>
      <c r="T63" s="27" t="s">
        <v>507</v>
      </c>
      <c r="U63" s="27" t="s">
        <v>508</v>
      </c>
      <c r="V63" s="27"/>
      <c r="W63" s="27" t="s">
        <v>107</v>
      </c>
      <c r="X63" s="27" t="s">
        <v>107</v>
      </c>
      <c r="Y63" s="27" t="s">
        <v>645</v>
      </c>
      <c r="Z63" s="610" t="s">
        <v>646</v>
      </c>
      <c r="AA63" s="6"/>
      <c r="AK63" s="557">
        <f t="shared" si="0"/>
        <v>45223</v>
      </c>
      <c r="AL63" s="321">
        <f t="shared" si="1"/>
        <v>45230</v>
      </c>
      <c r="AM63" s="321" t="str">
        <f t="shared" si="2"/>
        <v xml:space="preserve"> </v>
      </c>
      <c r="AN63" s="321" t="str">
        <f t="shared" si="3"/>
        <v xml:space="preserve"> </v>
      </c>
      <c r="AO63" s="558" t="str">
        <f t="shared" si="4"/>
        <v xml:space="preserve"> </v>
      </c>
      <c r="AR63" s="6">
        <v>18</v>
      </c>
    </row>
    <row r="64" spans="1:44" ht="13" x14ac:dyDescent="0.25">
      <c r="A64" s="607" t="s">
        <v>532</v>
      </c>
      <c r="B64" s="27" t="s">
        <v>43</v>
      </c>
      <c r="C64" s="27" t="s">
        <v>647</v>
      </c>
      <c r="D64" s="27">
        <v>200919</v>
      </c>
      <c r="E64" s="27" t="s">
        <v>52</v>
      </c>
      <c r="F64" s="27" t="s">
        <v>143</v>
      </c>
      <c r="G64" s="27" t="s">
        <v>6</v>
      </c>
      <c r="H64" s="608">
        <v>45223</v>
      </c>
      <c r="I64" s="63">
        <v>10</v>
      </c>
      <c r="J64" s="608">
        <v>45238</v>
      </c>
      <c r="K64" s="63">
        <v>10</v>
      </c>
      <c r="L64" s="608"/>
      <c r="M64" s="63"/>
      <c r="N64" s="608"/>
      <c r="O64" s="63"/>
      <c r="P64" s="608"/>
      <c r="Q64" s="63"/>
      <c r="R64" s="63">
        <f>Table4[[#This Row],[Initial Acres]]+Table4[[#This Row],[Day 2 
Acres]]+Table4[[#This Row],[Day 3
Acres]]+Table4[[#This Row],[Day 4
Acres]]+Table4[[#This Row],[Day 5 
Acres]]</f>
        <v>20</v>
      </c>
      <c r="S64" s="27" t="str">
        <f>IF($R64&lt;=0, " ",IF($R64&lt;=0.25, "A",IF($R64&lt;10, "B",IF($R64&lt;100, "C", IF($R64&lt;300, "D",IF($R64&lt;1000, "E",IF($R64&lt;5000,"F",IF($R64&gt;=5000, "G"))))))))</f>
        <v>C</v>
      </c>
      <c r="T64" s="27" t="s">
        <v>507</v>
      </c>
      <c r="U64" s="27" t="s">
        <v>508</v>
      </c>
      <c r="V64" s="27"/>
      <c r="W64" s="27" t="s">
        <v>107</v>
      </c>
      <c r="X64" s="27" t="s">
        <v>107</v>
      </c>
      <c r="Y64" s="637" t="s">
        <v>648</v>
      </c>
      <c r="Z64" s="610" t="s">
        <v>649</v>
      </c>
      <c r="AA64" s="6"/>
      <c r="AK64" s="557">
        <f t="shared" si="0"/>
        <v>45223</v>
      </c>
      <c r="AL64" s="321">
        <f t="shared" si="1"/>
        <v>45238</v>
      </c>
      <c r="AM64" s="321" t="str">
        <f t="shared" si="2"/>
        <v xml:space="preserve"> </v>
      </c>
      <c r="AN64" s="321" t="str">
        <f t="shared" si="3"/>
        <v xml:space="preserve"> </v>
      </c>
      <c r="AO64" s="558" t="str">
        <f t="shared" si="4"/>
        <v xml:space="preserve"> </v>
      </c>
      <c r="AR64" s="6">
        <v>18</v>
      </c>
    </row>
    <row r="65" spans="1:44" ht="13" x14ac:dyDescent="0.25">
      <c r="A65" s="607" t="s">
        <v>650</v>
      </c>
      <c r="B65" s="27" t="s">
        <v>43</v>
      </c>
      <c r="C65" s="27" t="s">
        <v>651</v>
      </c>
      <c r="D65" s="27">
        <v>200921</v>
      </c>
      <c r="E65" s="27" t="s">
        <v>52</v>
      </c>
      <c r="F65" s="27" t="s">
        <v>50</v>
      </c>
      <c r="G65" s="27" t="s">
        <v>506</v>
      </c>
      <c r="H65" s="608">
        <v>45224</v>
      </c>
      <c r="I65" s="63">
        <v>10</v>
      </c>
      <c r="J65" s="608"/>
      <c r="K65" s="63"/>
      <c r="L65" s="608"/>
      <c r="M65" s="63"/>
      <c r="N65" s="608"/>
      <c r="O65" s="63"/>
      <c r="P65" s="608"/>
      <c r="Q65" s="63"/>
      <c r="R65" s="63">
        <f>Table4[[#This Row],[Initial Acres]]+Table4[[#This Row],[Day 2 
Acres]]+Table4[[#This Row],[Day 3
Acres]]+Table4[[#This Row],[Day 4
Acres]]+Table4[[#This Row],[Day 5 
Acres]]</f>
        <v>10</v>
      </c>
      <c r="S65" s="27" t="str">
        <f>IF($R65&lt;=0, " ",IF($R65&lt;=0.25, "A",IF($R65&lt;10, "B",IF($R65&lt;100, "C", IF($R65&lt;300, "D",IF($R65&lt;1000, "E",IF($R65&lt;5000,"F",IF($R65&gt;=5000, "G"))))))))</f>
        <v>C</v>
      </c>
      <c r="T65" s="27" t="s">
        <v>507</v>
      </c>
      <c r="U65" s="27" t="s">
        <v>508</v>
      </c>
      <c r="V65" s="27"/>
      <c r="W65" s="27" t="s">
        <v>107</v>
      </c>
      <c r="X65" s="27" t="s">
        <v>107</v>
      </c>
      <c r="Y65" s="27"/>
      <c r="Z65" s="610"/>
      <c r="AA65" s="6"/>
      <c r="AK65" s="557">
        <f t="shared" si="0"/>
        <v>45224</v>
      </c>
      <c r="AL65" s="321" t="str">
        <f t="shared" si="1"/>
        <v xml:space="preserve"> </v>
      </c>
      <c r="AM65" s="321" t="str">
        <f t="shared" si="2"/>
        <v xml:space="preserve"> </v>
      </c>
      <c r="AN65" s="321" t="str">
        <f t="shared" si="3"/>
        <v xml:space="preserve"> </v>
      </c>
      <c r="AO65" s="558" t="str">
        <f t="shared" si="4"/>
        <v xml:space="preserve"> </v>
      </c>
      <c r="AR65" s="6">
        <v>18</v>
      </c>
    </row>
    <row r="66" spans="1:44" ht="13" x14ac:dyDescent="0.25">
      <c r="A66" s="607" t="s">
        <v>650</v>
      </c>
      <c r="B66" s="27" t="s">
        <v>43</v>
      </c>
      <c r="C66" s="27" t="s">
        <v>652</v>
      </c>
      <c r="D66" s="27">
        <v>200922</v>
      </c>
      <c r="E66" s="27" t="s">
        <v>52</v>
      </c>
      <c r="F66" s="27" t="s">
        <v>50</v>
      </c>
      <c r="G66" s="27" t="s">
        <v>506</v>
      </c>
      <c r="H66" s="608">
        <v>45224</v>
      </c>
      <c r="I66" s="63">
        <v>26</v>
      </c>
      <c r="J66" s="608">
        <v>45226</v>
      </c>
      <c r="K66" s="63">
        <v>22</v>
      </c>
      <c r="L66" s="608"/>
      <c r="M66" s="63"/>
      <c r="N66" s="608"/>
      <c r="O66" s="63"/>
      <c r="P66" s="608"/>
      <c r="Q66" s="63"/>
      <c r="R66" s="63">
        <f>Table4[[#This Row],[Initial Acres]]+Table4[[#This Row],[Day 2 
Acres]]+Table4[[#This Row],[Day 3
Acres]]+Table4[[#This Row],[Day 4
Acres]]+Table4[[#This Row],[Day 5 
Acres]]</f>
        <v>48</v>
      </c>
      <c r="S66" s="27" t="str">
        <f>IF($R66&lt;=0, " ",IF($R66&lt;=0.25, "A",IF($R66&lt;10, "B",IF($R66&lt;100, "C", IF($R66&lt;300, "D",IF($R66&lt;1000, "E",IF($R66&lt;5000,"F",IF($R66&gt;=5000, "G"))))))))</f>
        <v>C</v>
      </c>
      <c r="T66" s="27" t="s">
        <v>512</v>
      </c>
      <c r="U66" s="27" t="s">
        <v>508</v>
      </c>
      <c r="V66" s="27"/>
      <c r="W66" s="27" t="s">
        <v>107</v>
      </c>
      <c r="X66" s="27" t="s">
        <v>107</v>
      </c>
      <c r="Y66" s="27"/>
      <c r="Z66" s="610"/>
      <c r="AA66" s="6"/>
      <c r="AK66" s="557">
        <f t="shared" si="0"/>
        <v>45224</v>
      </c>
      <c r="AL66" s="321">
        <f t="shared" si="1"/>
        <v>45226</v>
      </c>
      <c r="AM66" s="321" t="str">
        <f t="shared" si="2"/>
        <v xml:space="preserve"> </v>
      </c>
      <c r="AN66" s="321" t="str">
        <f t="shared" si="3"/>
        <v xml:space="preserve"> </v>
      </c>
      <c r="AO66" s="558" t="str">
        <f t="shared" si="4"/>
        <v xml:space="preserve"> </v>
      </c>
      <c r="AR66" s="6">
        <v>18</v>
      </c>
    </row>
    <row r="67" spans="1:44" ht="13" x14ac:dyDescent="0.25">
      <c r="A67" s="607" t="s">
        <v>653</v>
      </c>
      <c r="B67" s="27" t="s">
        <v>43</v>
      </c>
      <c r="C67" s="27" t="s">
        <v>654</v>
      </c>
      <c r="D67" s="27">
        <v>200923</v>
      </c>
      <c r="E67" s="27" t="s">
        <v>52</v>
      </c>
      <c r="F67" s="27" t="s">
        <v>41</v>
      </c>
      <c r="G67" s="27" t="s">
        <v>6</v>
      </c>
      <c r="H67" s="608">
        <v>45224</v>
      </c>
      <c r="I67" s="63">
        <v>10</v>
      </c>
      <c r="J67" s="608"/>
      <c r="K67" s="63"/>
      <c r="L67" s="608"/>
      <c r="M67" s="63"/>
      <c r="N67" s="608"/>
      <c r="O67" s="63"/>
      <c r="P67" s="608"/>
      <c r="Q67" s="63"/>
      <c r="R67" s="63">
        <f>Table4[[#This Row],[Initial Acres]]+Table4[[#This Row],[Day 2 
Acres]]+Table4[[#This Row],[Day 3
Acres]]+Table4[[#This Row],[Day 4
Acres]]+Table4[[#This Row],[Day 5 
Acres]]</f>
        <v>10</v>
      </c>
      <c r="S67" s="27" t="str">
        <f>IF($R67&lt;=0, " ",IF($R67&lt;=0.25, "A",IF($R67&lt;10, "B",IF($R67&lt;100, "C", IF($R67&lt;300, "D",IF($R67&lt;1000, "E",IF($R67&lt;5000,"F",IF($R67&gt;=5000, "G"))))))))</f>
        <v>C</v>
      </c>
      <c r="T67" s="27" t="s">
        <v>512</v>
      </c>
      <c r="U67" s="27" t="s">
        <v>508</v>
      </c>
      <c r="V67" s="27"/>
      <c r="W67" s="27" t="s">
        <v>107</v>
      </c>
      <c r="X67" s="27" t="s">
        <v>107</v>
      </c>
      <c r="Y67" s="27"/>
      <c r="Z67" s="610"/>
      <c r="AA67" s="6"/>
      <c r="AK67" s="557">
        <f t="shared" si="0"/>
        <v>45224</v>
      </c>
      <c r="AL67" s="321" t="str">
        <f t="shared" si="1"/>
        <v xml:space="preserve"> </v>
      </c>
      <c r="AM67" s="321" t="str">
        <f t="shared" si="2"/>
        <v xml:space="preserve"> </v>
      </c>
      <c r="AN67" s="321" t="str">
        <f t="shared" si="3"/>
        <v xml:space="preserve"> </v>
      </c>
      <c r="AO67" s="558" t="str">
        <f t="shared" si="4"/>
        <v xml:space="preserve"> </v>
      </c>
      <c r="AR67" s="6">
        <v>18</v>
      </c>
    </row>
    <row r="68" spans="1:44" ht="13" x14ac:dyDescent="0.25">
      <c r="A68" s="607" t="s">
        <v>532</v>
      </c>
      <c r="B68" s="27" t="s">
        <v>43</v>
      </c>
      <c r="C68" s="27" t="s">
        <v>655</v>
      </c>
      <c r="D68" s="27">
        <v>200924</v>
      </c>
      <c r="E68" s="27" t="s">
        <v>52</v>
      </c>
      <c r="F68" s="27" t="s">
        <v>143</v>
      </c>
      <c r="G68" s="27" t="s">
        <v>6</v>
      </c>
      <c r="H68" s="608">
        <v>45224</v>
      </c>
      <c r="I68" s="63">
        <v>7</v>
      </c>
      <c r="J68" s="608"/>
      <c r="K68" s="63"/>
      <c r="L68" s="608"/>
      <c r="M68" s="63"/>
      <c r="N68" s="608"/>
      <c r="O68" s="63"/>
      <c r="P68" s="608"/>
      <c r="Q68" s="63"/>
      <c r="R68" s="63">
        <f>Table4[[#This Row],[Initial Acres]]+Table4[[#This Row],[Day 2 
Acres]]+Table4[[#This Row],[Day 3
Acres]]+Table4[[#This Row],[Day 4
Acres]]+Table4[[#This Row],[Day 5 
Acres]]</f>
        <v>7</v>
      </c>
      <c r="S68" s="27" t="str">
        <f>IF($R68&lt;=0, " ",IF($R68&lt;=0.25, "A",IF($R68&lt;10, "B",IF($R68&lt;100, "C", IF($R68&lt;300, "D",IF($R68&lt;1000, "E",IF($R68&lt;5000,"F",IF($R68&gt;=5000, "G"))))))))</f>
        <v>B</v>
      </c>
      <c r="T68" s="27" t="s">
        <v>507</v>
      </c>
      <c r="U68" s="27" t="s">
        <v>508</v>
      </c>
      <c r="V68" s="27"/>
      <c r="W68" s="27" t="s">
        <v>107</v>
      </c>
      <c r="X68" s="27" t="s">
        <v>107</v>
      </c>
      <c r="Y68" s="27"/>
      <c r="Z68" s="610" t="s">
        <v>656</v>
      </c>
      <c r="AA68" s="6"/>
      <c r="AK68" s="557">
        <f t="shared" si="0"/>
        <v>45224</v>
      </c>
      <c r="AL68" s="321" t="str">
        <f t="shared" si="1"/>
        <v xml:space="preserve"> </v>
      </c>
      <c r="AM68" s="321" t="str">
        <f t="shared" si="2"/>
        <v xml:space="preserve"> </v>
      </c>
      <c r="AN68" s="321" t="str">
        <f t="shared" si="3"/>
        <v xml:space="preserve"> </v>
      </c>
      <c r="AO68" s="558" t="str">
        <f t="shared" si="4"/>
        <v xml:space="preserve"> </v>
      </c>
      <c r="AR68" s="6">
        <v>18</v>
      </c>
    </row>
    <row r="69" spans="1:44" ht="13" x14ac:dyDescent="0.25">
      <c r="A69" s="607" t="s">
        <v>532</v>
      </c>
      <c r="B69" s="27" t="s">
        <v>43</v>
      </c>
      <c r="C69" s="27" t="s">
        <v>657</v>
      </c>
      <c r="D69" s="27">
        <v>200925</v>
      </c>
      <c r="E69" s="27" t="s">
        <v>52</v>
      </c>
      <c r="F69" s="27" t="s">
        <v>143</v>
      </c>
      <c r="G69" s="27" t="s">
        <v>6</v>
      </c>
      <c r="H69" s="608">
        <v>45225</v>
      </c>
      <c r="I69" s="63">
        <v>15</v>
      </c>
      <c r="J69" s="608">
        <v>45226</v>
      </c>
      <c r="K69" s="63">
        <v>3</v>
      </c>
      <c r="L69" s="608">
        <v>45231</v>
      </c>
      <c r="M69" s="63">
        <v>5</v>
      </c>
      <c r="N69" s="608">
        <v>45232</v>
      </c>
      <c r="O69" s="63">
        <v>5</v>
      </c>
      <c r="P69" s="608">
        <v>45236</v>
      </c>
      <c r="Q69" s="63">
        <v>10</v>
      </c>
      <c r="R69" s="63">
        <f>Table4[[#This Row],[Initial Acres]]+Table4[[#This Row],[Day 2 
Acres]]+Table4[[#This Row],[Day 3
Acres]]+Table4[[#This Row],[Day 4
Acres]]+Table4[[#This Row],[Day 5 
Acres]]</f>
        <v>38</v>
      </c>
      <c r="S69" s="27" t="str">
        <f>IF($R69&lt;=0, " ",IF($R69&lt;=0.25, "A",IF($R69&lt;10, "B",IF($R69&lt;100, "C", IF($R69&lt;300, "D",IF($R69&lt;1000, "E",IF($R69&lt;5000,"F",IF($R69&gt;=5000, "G"))))))))</f>
        <v>C</v>
      </c>
      <c r="T69" s="27" t="s">
        <v>507</v>
      </c>
      <c r="U69" s="27" t="s">
        <v>508</v>
      </c>
      <c r="V69" s="27"/>
      <c r="W69" s="27" t="s">
        <v>107</v>
      </c>
      <c r="X69" s="27" t="s">
        <v>107</v>
      </c>
      <c r="Y69" s="27" t="s">
        <v>658</v>
      </c>
      <c r="Z69" s="610" t="s">
        <v>659</v>
      </c>
      <c r="AA69" s="6"/>
      <c r="AK69" s="557">
        <f t="shared" si="0"/>
        <v>45225</v>
      </c>
      <c r="AL69" s="321">
        <f t="shared" si="1"/>
        <v>45226</v>
      </c>
      <c r="AM69" s="321">
        <f t="shared" si="2"/>
        <v>45231</v>
      </c>
      <c r="AN69" s="321">
        <f t="shared" si="3"/>
        <v>45232</v>
      </c>
      <c r="AO69" s="558">
        <f t="shared" si="4"/>
        <v>45236</v>
      </c>
      <c r="AR69" s="6">
        <v>18</v>
      </c>
    </row>
    <row r="70" spans="1:44" ht="13" x14ac:dyDescent="0.25">
      <c r="A70" s="607" t="s">
        <v>660</v>
      </c>
      <c r="B70" s="27" t="s">
        <v>43</v>
      </c>
      <c r="C70" s="27" t="s">
        <v>661</v>
      </c>
      <c r="D70" s="27">
        <v>200927</v>
      </c>
      <c r="E70" s="27" t="s">
        <v>52</v>
      </c>
      <c r="F70" s="27" t="s">
        <v>65</v>
      </c>
      <c r="G70" s="27" t="s">
        <v>506</v>
      </c>
      <c r="H70" s="608">
        <v>45226</v>
      </c>
      <c r="I70" s="63">
        <v>10</v>
      </c>
      <c r="J70" s="608"/>
      <c r="K70" s="63"/>
      <c r="L70" s="608"/>
      <c r="M70" s="63"/>
      <c r="N70" s="608"/>
      <c r="O70" s="63"/>
      <c r="P70" s="608"/>
      <c r="Q70" s="63"/>
      <c r="R70" s="63">
        <f>Table4[[#This Row],[Initial Acres]]+Table4[[#This Row],[Day 2 
Acres]]+Table4[[#This Row],[Day 3
Acres]]+Table4[[#This Row],[Day 4
Acres]]+Table4[[#This Row],[Day 5 
Acres]]</f>
        <v>10</v>
      </c>
      <c r="S70" s="27" t="str">
        <f>IF($R70&lt;=0, " ",IF($R70&lt;=0.25, "A",IF($R70&lt;10, "B",IF($R70&lt;100, "C", IF($R70&lt;300, "D",IF($R70&lt;1000, "E",IF($R70&lt;5000,"F",IF($R70&gt;=5000, "G"))))))))</f>
        <v>C</v>
      </c>
      <c r="T70" s="27" t="s">
        <v>507</v>
      </c>
      <c r="U70" s="27" t="s">
        <v>508</v>
      </c>
      <c r="V70" s="27"/>
      <c r="W70" s="27" t="s">
        <v>107</v>
      </c>
      <c r="X70" s="27" t="s">
        <v>107</v>
      </c>
      <c r="Y70" s="27"/>
      <c r="Z70" s="610"/>
      <c r="AA70" s="6"/>
      <c r="AK70" s="557">
        <f t="shared" ref="AK70:AK132" si="14">IF($H70,INT($H70)," ")</f>
        <v>45226</v>
      </c>
      <c r="AL70" s="321" t="str">
        <f t="shared" ref="AL70:AL132" si="15">IF($J70,INT($J70)," ")</f>
        <v xml:space="preserve"> </v>
      </c>
      <c r="AM70" s="321" t="str">
        <f t="shared" ref="AM70:AM132" si="16">IF($L70,INT($L70)," ")</f>
        <v xml:space="preserve"> </v>
      </c>
      <c r="AN70" s="321" t="str">
        <f t="shared" ref="AN70:AN132" si="17">IF($N70,INT($N70)," ")</f>
        <v xml:space="preserve"> </v>
      </c>
      <c r="AO70" s="558" t="str">
        <f t="shared" ref="AO70:AO132" si="18">IF($P70,INT($P70)," ")</f>
        <v xml:space="preserve"> </v>
      </c>
      <c r="AR70" s="6">
        <v>18</v>
      </c>
    </row>
    <row r="71" spans="1:44" ht="13" x14ac:dyDescent="0.25">
      <c r="A71" s="607" t="s">
        <v>650</v>
      </c>
      <c r="B71" s="27" t="s">
        <v>43</v>
      </c>
      <c r="C71" s="27" t="s">
        <v>662</v>
      </c>
      <c r="D71" s="27">
        <v>200928</v>
      </c>
      <c r="E71" s="27" t="s">
        <v>52</v>
      </c>
      <c r="F71" s="27" t="s">
        <v>50</v>
      </c>
      <c r="G71" s="27" t="s">
        <v>506</v>
      </c>
      <c r="H71" s="608">
        <v>45229</v>
      </c>
      <c r="I71" s="63">
        <v>3</v>
      </c>
      <c r="J71" s="608"/>
      <c r="K71" s="63"/>
      <c r="L71" s="608"/>
      <c r="M71" s="63"/>
      <c r="N71" s="608"/>
      <c r="O71" s="63"/>
      <c r="P71" s="608"/>
      <c r="Q71" s="63"/>
      <c r="R71" s="63">
        <f>Table4[[#This Row],[Initial Acres]]+Table4[[#This Row],[Day 2 
Acres]]+Table4[[#This Row],[Day 3
Acres]]+Table4[[#This Row],[Day 4
Acres]]+Table4[[#This Row],[Day 5 
Acres]]</f>
        <v>3</v>
      </c>
      <c r="S71" s="27" t="str">
        <f>IF($R71&lt;=0, " ",IF($R71&lt;=0.25, "A",IF($R71&lt;10, "B",IF($R71&lt;100, "C", IF($R71&lt;300, "D",IF($R71&lt;1000, "E",IF($R71&lt;5000,"F",IF($R71&gt;=5000, "G"))))))))</f>
        <v>B</v>
      </c>
      <c r="T71" s="27" t="s">
        <v>512</v>
      </c>
      <c r="U71" s="27" t="s">
        <v>508</v>
      </c>
      <c r="V71" s="27"/>
      <c r="W71" s="27" t="s">
        <v>107</v>
      </c>
      <c r="X71" s="27" t="s">
        <v>107</v>
      </c>
      <c r="Y71" s="27"/>
      <c r="Z71" s="610"/>
      <c r="AA71" s="6"/>
      <c r="AK71" s="557">
        <f t="shared" si="14"/>
        <v>45229</v>
      </c>
      <c r="AL71" s="321" t="str">
        <f t="shared" si="15"/>
        <v xml:space="preserve"> </v>
      </c>
      <c r="AM71" s="321" t="str">
        <f t="shared" si="16"/>
        <v xml:space="preserve"> </v>
      </c>
      <c r="AN71" s="321" t="str">
        <f t="shared" si="17"/>
        <v xml:space="preserve"> </v>
      </c>
      <c r="AO71" s="558" t="str">
        <f t="shared" si="18"/>
        <v xml:space="preserve"> </v>
      </c>
      <c r="AR71" s="6">
        <v>18</v>
      </c>
    </row>
    <row r="72" spans="1:44" ht="13" x14ac:dyDescent="0.25">
      <c r="A72" s="607" t="s">
        <v>650</v>
      </c>
      <c r="B72" s="27" t="s">
        <v>43</v>
      </c>
      <c r="C72" s="27" t="s">
        <v>663</v>
      </c>
      <c r="D72" s="27">
        <v>200929</v>
      </c>
      <c r="E72" s="27" t="s">
        <v>52</v>
      </c>
      <c r="F72" s="27" t="s">
        <v>50</v>
      </c>
      <c r="G72" s="27" t="s">
        <v>506</v>
      </c>
      <c r="H72" s="608">
        <v>45229</v>
      </c>
      <c r="I72" s="63">
        <v>5</v>
      </c>
      <c r="J72" s="608"/>
      <c r="K72" s="63"/>
      <c r="L72" s="608"/>
      <c r="M72" s="63"/>
      <c r="N72" s="608"/>
      <c r="O72" s="63"/>
      <c r="P72" s="608"/>
      <c r="Q72" s="63"/>
      <c r="R72" s="63">
        <f>Table4[[#This Row],[Initial Acres]]+Table4[[#This Row],[Day 2 
Acres]]+Table4[[#This Row],[Day 3
Acres]]+Table4[[#This Row],[Day 4
Acres]]+Table4[[#This Row],[Day 5 
Acres]]</f>
        <v>5</v>
      </c>
      <c r="S72" s="27" t="str">
        <f>IF($R72&lt;=0, " ",IF($R72&lt;=0.25, "A",IF($R72&lt;10, "B",IF($R72&lt;100, "C", IF($R72&lt;300, "D",IF($R72&lt;1000, "E",IF($R72&lt;5000,"F",IF($R72&gt;=5000, "G"))))))))</f>
        <v>B</v>
      </c>
      <c r="T72" s="27" t="s">
        <v>512</v>
      </c>
      <c r="U72" s="27" t="s">
        <v>508</v>
      </c>
      <c r="V72" s="27"/>
      <c r="W72" s="27" t="s">
        <v>107</v>
      </c>
      <c r="X72" s="27" t="s">
        <v>107</v>
      </c>
      <c r="Y72" s="27"/>
      <c r="Z72" s="610"/>
      <c r="AA72" s="6"/>
      <c r="AK72" s="557">
        <f t="shared" si="14"/>
        <v>45229</v>
      </c>
      <c r="AL72" s="321" t="str">
        <f t="shared" si="15"/>
        <v xml:space="preserve"> </v>
      </c>
      <c r="AM72" s="321" t="str">
        <f t="shared" si="16"/>
        <v xml:space="preserve"> </v>
      </c>
      <c r="AN72" s="321" t="str">
        <f t="shared" si="17"/>
        <v xml:space="preserve"> </v>
      </c>
      <c r="AO72" s="558" t="str">
        <f t="shared" si="18"/>
        <v xml:space="preserve"> </v>
      </c>
      <c r="AR72" s="6">
        <v>18</v>
      </c>
    </row>
    <row r="73" spans="1:44" ht="13" x14ac:dyDescent="0.25">
      <c r="A73" s="647" t="s">
        <v>586</v>
      </c>
      <c r="B73" s="27" t="s">
        <v>43</v>
      </c>
      <c r="C73" s="27" t="s">
        <v>664</v>
      </c>
      <c r="D73" s="27">
        <v>200930</v>
      </c>
      <c r="E73" s="27" t="s">
        <v>52</v>
      </c>
      <c r="F73" s="27" t="s">
        <v>56</v>
      </c>
      <c r="G73" s="27" t="s">
        <v>6</v>
      </c>
      <c r="H73" s="608">
        <v>45229</v>
      </c>
      <c r="I73" s="63">
        <v>10</v>
      </c>
      <c r="J73" s="608"/>
      <c r="K73" s="63"/>
      <c r="L73" s="608"/>
      <c r="M73" s="63"/>
      <c r="N73" s="608"/>
      <c r="O73" s="63"/>
      <c r="P73" s="608"/>
      <c r="Q73" s="63"/>
      <c r="R73" s="63">
        <f>Table4[[#This Row],[Initial Acres]]+Table4[[#This Row],[Day 2 
Acres]]+Table4[[#This Row],[Day 3
Acres]]+Table4[[#This Row],[Day 4
Acres]]+Table4[[#This Row],[Day 5 
Acres]]</f>
        <v>10</v>
      </c>
      <c r="S73" s="27" t="str">
        <f>IF($R73&lt;=0, " ",IF($R73&lt;=0.25, "A",IF($R73&lt;10, "B",IF($R73&lt;100, "C", IF($R73&lt;300, "D",IF($R73&lt;1000, "E",IF($R73&lt;5000,"F",IF($R73&gt;=5000, "G"))))))))</f>
        <v>C</v>
      </c>
      <c r="T73" s="27" t="s">
        <v>512</v>
      </c>
      <c r="U73" s="27" t="s">
        <v>508</v>
      </c>
      <c r="V73" s="27"/>
      <c r="W73" s="27" t="s">
        <v>107</v>
      </c>
      <c r="X73" s="27" t="s">
        <v>107</v>
      </c>
      <c r="Y73" s="27"/>
      <c r="Z73" s="610"/>
      <c r="AA73" s="6"/>
      <c r="AK73" s="557">
        <f t="shared" si="14"/>
        <v>45229</v>
      </c>
      <c r="AL73" s="321" t="str">
        <f t="shared" si="15"/>
        <v xml:space="preserve"> </v>
      </c>
      <c r="AM73" s="321" t="str">
        <f t="shared" si="16"/>
        <v xml:space="preserve"> </v>
      </c>
      <c r="AN73" s="321" t="str">
        <f t="shared" si="17"/>
        <v xml:space="preserve"> </v>
      </c>
      <c r="AO73" s="558" t="str">
        <f t="shared" si="18"/>
        <v xml:space="preserve"> </v>
      </c>
      <c r="AR73" s="6">
        <v>18</v>
      </c>
    </row>
    <row r="74" spans="1:44" ht="13" x14ac:dyDescent="0.25">
      <c r="A74" s="607" t="s">
        <v>660</v>
      </c>
      <c r="B74" s="27" t="s">
        <v>43</v>
      </c>
      <c r="C74" s="27" t="s">
        <v>665</v>
      </c>
      <c r="D74" s="27">
        <v>200931</v>
      </c>
      <c r="E74" s="27" t="s">
        <v>52</v>
      </c>
      <c r="F74" s="27" t="s">
        <v>65</v>
      </c>
      <c r="G74" s="27" t="s">
        <v>506</v>
      </c>
      <c r="H74" s="608">
        <v>45229</v>
      </c>
      <c r="I74" s="63">
        <v>50</v>
      </c>
      <c r="J74" s="608">
        <v>45231</v>
      </c>
      <c r="K74" s="63">
        <v>10</v>
      </c>
      <c r="L74" s="608"/>
      <c r="M74" s="63"/>
      <c r="N74" s="608"/>
      <c r="O74" s="63"/>
      <c r="P74" s="608"/>
      <c r="Q74" s="63"/>
      <c r="R74" s="63">
        <f>Table4[[#This Row],[Initial Acres]]+Table4[[#This Row],[Day 2 
Acres]]+Table4[[#This Row],[Day 3
Acres]]+Table4[[#This Row],[Day 4
Acres]]+Table4[[#This Row],[Day 5 
Acres]]</f>
        <v>60</v>
      </c>
      <c r="S74" s="27" t="str">
        <f>IF($R74&lt;=0, " ",IF($R74&lt;=0.25, "A",IF($R74&lt;10, "B",IF($R74&lt;100, "C", IF($R74&lt;300, "D",IF($R74&lt;1000, "E",IF($R74&lt;5000,"F",IF($R74&gt;=5000, "G"))))))))</f>
        <v>C</v>
      </c>
      <c r="T74" s="27" t="s">
        <v>512</v>
      </c>
      <c r="U74" s="27" t="s">
        <v>508</v>
      </c>
      <c r="V74" s="27"/>
      <c r="W74" s="27" t="s">
        <v>107</v>
      </c>
      <c r="X74" s="27" t="s">
        <v>107</v>
      </c>
      <c r="Y74" s="27" t="s">
        <v>666</v>
      </c>
      <c r="Z74" s="610"/>
      <c r="AA74" s="6"/>
      <c r="AK74" s="557">
        <f>IF($H74,INT($H74)," ")</f>
        <v>45229</v>
      </c>
      <c r="AL74" s="321">
        <f>IF($J74,INT($J74)," ")</f>
        <v>45231</v>
      </c>
      <c r="AM74" s="321" t="str">
        <f>IF($L74,INT($L74)," ")</f>
        <v xml:space="preserve"> </v>
      </c>
      <c r="AN74" s="321" t="str">
        <f>IF($N74,INT($N74)," ")</f>
        <v xml:space="preserve"> </v>
      </c>
      <c r="AO74" s="558" t="str">
        <f>IF($P74,INT($P74)," ")</f>
        <v xml:space="preserve"> </v>
      </c>
      <c r="AR74" s="6">
        <v>18</v>
      </c>
    </row>
    <row r="75" spans="1:44" ht="13" x14ac:dyDescent="0.25">
      <c r="A75" s="613" t="s">
        <v>532</v>
      </c>
      <c r="B75" s="614" t="s">
        <v>43</v>
      </c>
      <c r="C75" s="614" t="s">
        <v>667</v>
      </c>
      <c r="D75" s="27">
        <v>200932</v>
      </c>
      <c r="E75" s="27" t="s">
        <v>52</v>
      </c>
      <c r="F75" s="27" t="s">
        <v>143</v>
      </c>
      <c r="G75" s="27" t="s">
        <v>6</v>
      </c>
      <c r="H75" s="608">
        <v>45229</v>
      </c>
      <c r="I75" s="63">
        <v>7</v>
      </c>
      <c r="J75" s="608"/>
      <c r="K75" s="63"/>
      <c r="L75" s="608"/>
      <c r="M75" s="63"/>
      <c r="N75" s="608"/>
      <c r="O75" s="63"/>
      <c r="P75" s="608"/>
      <c r="Q75" s="63"/>
      <c r="R75" s="63">
        <f>Table4[[#This Row],[Initial Acres]]+Table4[[#This Row],[Day 2 
Acres]]+Table4[[#This Row],[Day 3
Acres]]+Table4[[#This Row],[Day 4
Acres]]+Table4[[#This Row],[Day 5 
Acres]]</f>
        <v>7</v>
      </c>
      <c r="S75" s="27" t="str">
        <f>IF($R75&lt;=0, " ",IF($R75&lt;=0.25, "A",IF($R75&lt;10, "B",IF($R75&lt;100, "C", IF($R75&lt;300, "D",IF($R75&lt;1000, "E",IF($R75&lt;5000,"F",IF($R75&gt;=5000, "G"))))))))</f>
        <v>B</v>
      </c>
      <c r="T75" s="27" t="s">
        <v>507</v>
      </c>
      <c r="U75" s="27" t="s">
        <v>508</v>
      </c>
      <c r="V75" s="27"/>
      <c r="W75" s="27" t="s">
        <v>107</v>
      </c>
      <c r="X75" s="27" t="s">
        <v>107</v>
      </c>
      <c r="Y75" s="27"/>
      <c r="Z75" s="610" t="s">
        <v>668</v>
      </c>
      <c r="AA75" s="6"/>
      <c r="AK75" s="557">
        <f t="shared" si="14"/>
        <v>45229</v>
      </c>
      <c r="AL75" s="321" t="str">
        <f t="shared" si="15"/>
        <v xml:space="preserve"> </v>
      </c>
      <c r="AM75" s="321" t="str">
        <f t="shared" si="16"/>
        <v xml:space="preserve"> </v>
      </c>
      <c r="AN75" s="321" t="str">
        <f t="shared" si="17"/>
        <v xml:space="preserve"> </v>
      </c>
      <c r="AO75" s="558" t="str">
        <f t="shared" si="18"/>
        <v xml:space="preserve"> </v>
      </c>
      <c r="AR75" s="6">
        <v>18</v>
      </c>
    </row>
    <row r="76" spans="1:44" ht="13" x14ac:dyDescent="0.25">
      <c r="A76" s="607" t="s">
        <v>669</v>
      </c>
      <c r="B76" s="27" t="s">
        <v>43</v>
      </c>
      <c r="C76" s="27" t="s">
        <v>670</v>
      </c>
      <c r="D76" s="27">
        <v>200937</v>
      </c>
      <c r="E76" s="27" t="s">
        <v>52</v>
      </c>
      <c r="F76" s="27" t="s">
        <v>50</v>
      </c>
      <c r="G76" s="27" t="s">
        <v>506</v>
      </c>
      <c r="H76" s="608">
        <v>45230</v>
      </c>
      <c r="I76" s="63">
        <v>1</v>
      </c>
      <c r="J76" s="608"/>
      <c r="K76" s="63"/>
      <c r="L76" s="608"/>
      <c r="M76" s="63"/>
      <c r="N76" s="608"/>
      <c r="O76" s="63"/>
      <c r="P76" s="608"/>
      <c r="Q76" s="63"/>
      <c r="R76" s="63">
        <f>Table4[[#This Row],[Initial Acres]]+Table4[[#This Row],[Day 2 
Acres]]+Table4[[#This Row],[Day 3
Acres]]+Table4[[#This Row],[Day 4
Acres]]+Table4[[#This Row],[Day 5 
Acres]]</f>
        <v>1</v>
      </c>
      <c r="S76" s="27" t="str">
        <f>IF($R76&lt;=0, " ",IF($R76&lt;=0.25, "A",IF($R76&lt;10, "B",IF($R76&lt;100, "C", IF($R76&lt;300, "D",IF($R76&lt;1000, "E",IF($R76&lt;5000,"F",IF($R76&gt;=5000, "G"))))))))</f>
        <v>B</v>
      </c>
      <c r="T76" s="27" t="s">
        <v>512</v>
      </c>
      <c r="U76" s="27" t="s">
        <v>508</v>
      </c>
      <c r="V76" s="27"/>
      <c r="W76" s="27" t="s">
        <v>107</v>
      </c>
      <c r="X76" s="27" t="s">
        <v>107</v>
      </c>
      <c r="Y76" s="27">
        <f>Y91</f>
        <v>0</v>
      </c>
      <c r="Z76" s="610" t="s">
        <v>671</v>
      </c>
      <c r="AA76" s="6"/>
      <c r="AK76" s="557">
        <f t="shared" si="14"/>
        <v>45230</v>
      </c>
      <c r="AL76" s="321" t="str">
        <f t="shared" si="15"/>
        <v xml:space="preserve"> </v>
      </c>
      <c r="AM76" s="321" t="str">
        <f t="shared" si="16"/>
        <v xml:space="preserve"> </v>
      </c>
      <c r="AN76" s="321" t="str">
        <f t="shared" si="17"/>
        <v xml:space="preserve"> </v>
      </c>
      <c r="AO76" s="558" t="str">
        <f t="shared" si="18"/>
        <v xml:space="preserve"> </v>
      </c>
      <c r="AR76" s="6">
        <v>18</v>
      </c>
    </row>
    <row r="77" spans="1:44" ht="13" x14ac:dyDescent="0.25">
      <c r="A77" s="607" t="s">
        <v>532</v>
      </c>
      <c r="B77" s="27" t="s">
        <v>43</v>
      </c>
      <c r="C77" s="27" t="s">
        <v>672</v>
      </c>
      <c r="D77" s="27">
        <v>200939</v>
      </c>
      <c r="E77" s="27" t="s">
        <v>52</v>
      </c>
      <c r="F77" s="27" t="s">
        <v>143</v>
      </c>
      <c r="G77" s="27" t="s">
        <v>6</v>
      </c>
      <c r="H77" s="608">
        <v>45230</v>
      </c>
      <c r="I77" s="63">
        <v>5</v>
      </c>
      <c r="J77" s="608">
        <v>45232</v>
      </c>
      <c r="K77" s="63">
        <v>5</v>
      </c>
      <c r="L77" s="608">
        <v>45233</v>
      </c>
      <c r="M77" s="63">
        <v>5</v>
      </c>
      <c r="N77" s="608">
        <v>45237</v>
      </c>
      <c r="O77" s="63">
        <v>7</v>
      </c>
      <c r="P77" s="608"/>
      <c r="Q77" s="63"/>
      <c r="R77" s="63">
        <f>Table4[[#This Row],[Initial Acres]]+Table4[[#This Row],[Day 2 
Acres]]+Table4[[#This Row],[Day 3
Acres]]+Table4[[#This Row],[Day 4
Acres]]+Table4[[#This Row],[Day 5 
Acres]]</f>
        <v>22</v>
      </c>
      <c r="S77" s="27" t="str">
        <f>IF($R77&lt;=0, " ",IF($R77&lt;=0.25, "A",IF($R77&lt;10, "B",IF($R77&lt;100, "C", IF($R77&lt;300, "D",IF($R77&lt;1000, "E",IF($R77&lt;5000,"F",IF($R77&gt;=5000, "G"))))))))</f>
        <v>C</v>
      </c>
      <c r="T77" s="27" t="s">
        <v>507</v>
      </c>
      <c r="U77" s="27" t="s">
        <v>508</v>
      </c>
      <c r="V77" s="27"/>
      <c r="W77" s="27" t="s">
        <v>107</v>
      </c>
      <c r="X77" s="27" t="s">
        <v>107</v>
      </c>
      <c r="Y77" s="637" t="s">
        <v>673</v>
      </c>
      <c r="Z77" s="610" t="s">
        <v>591</v>
      </c>
      <c r="AA77" s="6"/>
      <c r="AK77" s="557">
        <f t="shared" si="14"/>
        <v>45230</v>
      </c>
      <c r="AL77" s="321">
        <f t="shared" si="15"/>
        <v>45232</v>
      </c>
      <c r="AM77" s="321">
        <f t="shared" si="16"/>
        <v>45233</v>
      </c>
      <c r="AN77" s="321">
        <f t="shared" si="17"/>
        <v>45237</v>
      </c>
      <c r="AO77" s="558" t="str">
        <f t="shared" si="18"/>
        <v xml:space="preserve"> </v>
      </c>
      <c r="AR77" s="6">
        <v>18</v>
      </c>
    </row>
    <row r="78" spans="1:44" ht="13" x14ac:dyDescent="0.25">
      <c r="A78" s="607" t="s">
        <v>530</v>
      </c>
      <c r="B78" s="27" t="s">
        <v>43</v>
      </c>
      <c r="C78" s="27">
        <v>118</v>
      </c>
      <c r="D78" s="27">
        <v>200940</v>
      </c>
      <c r="E78" s="27" t="s">
        <v>52</v>
      </c>
      <c r="F78" s="27" t="s">
        <v>50</v>
      </c>
      <c r="G78" s="27" t="s">
        <v>506</v>
      </c>
      <c r="H78" s="608">
        <v>45231</v>
      </c>
      <c r="I78" s="63">
        <v>10</v>
      </c>
      <c r="J78" s="608">
        <v>45233</v>
      </c>
      <c r="K78" s="63">
        <v>15</v>
      </c>
      <c r="L78" s="608">
        <v>45237</v>
      </c>
      <c r="M78" s="63">
        <v>17</v>
      </c>
      <c r="N78" s="608">
        <v>45238</v>
      </c>
      <c r="O78" s="63">
        <v>17</v>
      </c>
      <c r="P78" s="608"/>
      <c r="Q78" s="63"/>
      <c r="R78" s="63">
        <f>Table4[[#This Row],[Initial Acres]]+Table4[[#This Row],[Day 2 
Acres]]+Table4[[#This Row],[Day 3
Acres]]+Table4[[#This Row],[Day 4
Acres]]+Table4[[#This Row],[Day 5 
Acres]]</f>
        <v>59</v>
      </c>
      <c r="S78" s="27" t="str">
        <f>IF($R78&lt;=0, " ",IF($R78&lt;=0.25, "A",IF($R78&lt;10, "B",IF($R78&lt;100, "C", IF($R78&lt;300, "D",IF($R78&lt;1000, "E",IF($R78&lt;5000,"F",IF($R78&gt;=5000, "G"))))))))</f>
        <v>C</v>
      </c>
      <c r="T78" s="27" t="s">
        <v>512</v>
      </c>
      <c r="U78" s="27" t="s">
        <v>508</v>
      </c>
      <c r="V78" s="27"/>
      <c r="W78" s="27" t="s">
        <v>107</v>
      </c>
      <c r="X78" s="27" t="s">
        <v>107</v>
      </c>
      <c r="Y78" s="637" t="s">
        <v>674</v>
      </c>
      <c r="Z78" s="610" t="s">
        <v>675</v>
      </c>
      <c r="AA78" s="6"/>
      <c r="AK78" s="557">
        <f>IF($H78,INT($H78)," ")</f>
        <v>45231</v>
      </c>
      <c r="AL78" s="321">
        <f>IF($J78,INT($J78)," ")</f>
        <v>45233</v>
      </c>
      <c r="AM78" s="321">
        <f>IF($L78,INT($L78)," ")</f>
        <v>45237</v>
      </c>
      <c r="AN78" s="321">
        <f>IF($N78,INT($N78)," ")</f>
        <v>45238</v>
      </c>
      <c r="AO78" s="558" t="str">
        <f>IF($P78,INT($P78)," ")</f>
        <v xml:space="preserve"> </v>
      </c>
      <c r="AR78" s="6">
        <v>18</v>
      </c>
    </row>
    <row r="79" spans="1:44" ht="13" x14ac:dyDescent="0.25">
      <c r="A79" s="613" t="s">
        <v>638</v>
      </c>
      <c r="B79" s="614" t="s">
        <v>43</v>
      </c>
      <c r="C79" s="614">
        <v>84</v>
      </c>
      <c r="D79" s="27">
        <v>200941</v>
      </c>
      <c r="E79" s="27" t="s">
        <v>52</v>
      </c>
      <c r="F79" s="27" t="s">
        <v>50</v>
      </c>
      <c r="G79" s="27" t="s">
        <v>506</v>
      </c>
      <c r="H79" s="608">
        <v>45231</v>
      </c>
      <c r="I79" s="63">
        <v>10</v>
      </c>
      <c r="J79" s="608">
        <v>45232</v>
      </c>
      <c r="K79" s="63">
        <v>17</v>
      </c>
      <c r="L79" s="608"/>
      <c r="M79" s="63"/>
      <c r="N79" s="608"/>
      <c r="O79" s="63"/>
      <c r="P79" s="608"/>
      <c r="Q79" s="63"/>
      <c r="R79" s="63">
        <f>Table4[[#This Row],[Initial Acres]]+Table4[[#This Row],[Day 2 
Acres]]+Table4[[#This Row],[Day 3
Acres]]+Table4[[#This Row],[Day 4
Acres]]+Table4[[#This Row],[Day 5 
Acres]]</f>
        <v>27</v>
      </c>
      <c r="S79" s="27" t="str">
        <f>IF($R79&lt;=0, " ",IF($R79&lt;=0.25, "A",IF($R79&lt;10, "B",IF($R79&lt;100, "C", IF($R79&lt;300, "D",IF($R79&lt;1000, "E",IF($R79&lt;5000,"F",IF($R79&gt;=5000, "G"))))))))</f>
        <v>C</v>
      </c>
      <c r="T79" s="27" t="s">
        <v>512</v>
      </c>
      <c r="U79" s="27" t="s">
        <v>508</v>
      </c>
      <c r="V79" s="27"/>
      <c r="W79" s="27" t="s">
        <v>107</v>
      </c>
      <c r="X79" s="27" t="s">
        <v>107</v>
      </c>
      <c r="Y79" s="27" t="s">
        <v>676</v>
      </c>
      <c r="Z79" s="610" t="s">
        <v>677</v>
      </c>
      <c r="AA79" s="6"/>
      <c r="AK79" s="557">
        <f t="shared" si="14"/>
        <v>45231</v>
      </c>
      <c r="AL79" s="321">
        <f t="shared" si="15"/>
        <v>45232</v>
      </c>
      <c r="AM79" s="321" t="str">
        <f t="shared" si="16"/>
        <v xml:space="preserve"> </v>
      </c>
      <c r="AN79" s="321" t="str">
        <f t="shared" si="17"/>
        <v xml:space="preserve"> </v>
      </c>
      <c r="AO79" s="558" t="str">
        <f t="shared" si="18"/>
        <v xml:space="preserve"> </v>
      </c>
      <c r="AR79" s="6">
        <v>18</v>
      </c>
    </row>
    <row r="80" spans="1:44" ht="13" x14ac:dyDescent="0.25">
      <c r="A80" s="607" t="s">
        <v>678</v>
      </c>
      <c r="B80" s="27" t="s">
        <v>107</v>
      </c>
      <c r="C80" s="27" t="s">
        <v>1</v>
      </c>
      <c r="D80" s="27">
        <v>200943</v>
      </c>
      <c r="E80" s="27" t="s">
        <v>217</v>
      </c>
      <c r="F80" s="27" t="s">
        <v>217</v>
      </c>
      <c r="G80" s="27"/>
      <c r="H80" s="608">
        <v>45231</v>
      </c>
      <c r="I80" s="63">
        <v>300</v>
      </c>
      <c r="J80" s="608"/>
      <c r="K80" s="63"/>
      <c r="L80" s="608"/>
      <c r="M80" s="63"/>
      <c r="N80" s="608"/>
      <c r="O80" s="63"/>
      <c r="P80" s="608"/>
      <c r="Q80" s="63"/>
      <c r="R80" s="63">
        <f>Table4[[#This Row],[Initial Acres]]+Table4[[#This Row],[Day 2 
Acres]]+Table4[[#This Row],[Day 3
Acres]]+Table4[[#This Row],[Day 4
Acres]]+Table4[[#This Row],[Day 5 
Acres]]</f>
        <v>300</v>
      </c>
      <c r="S80" s="27" t="str">
        <f>IF($R80&lt;=0, " ",IF($R80&lt;=0.25, "A",IF($R80&lt;10, "B",IF($R80&lt;100, "C", IF($R80&lt;300, "D",IF($R80&lt;1000, "E",IF($R80&lt;5000,"F",IF($R80&gt;=5000, "G"))))))))</f>
        <v>E</v>
      </c>
      <c r="T80" s="27" t="s">
        <v>512</v>
      </c>
      <c r="U80" s="27" t="s">
        <v>508</v>
      </c>
      <c r="V80" s="27"/>
      <c r="W80" s="27" t="s">
        <v>107</v>
      </c>
      <c r="X80" s="27" t="s">
        <v>107</v>
      </c>
      <c r="Y80" s="27"/>
      <c r="Z80" s="610" t="s">
        <v>679</v>
      </c>
      <c r="AA80" s="6"/>
      <c r="AK80" s="557">
        <f t="shared" si="14"/>
        <v>45231</v>
      </c>
      <c r="AL80" s="321" t="str">
        <f t="shared" si="15"/>
        <v xml:space="preserve"> </v>
      </c>
      <c r="AM80" s="321" t="str">
        <f t="shared" si="16"/>
        <v xml:space="preserve"> </v>
      </c>
      <c r="AN80" s="321" t="str">
        <f t="shared" si="17"/>
        <v xml:space="preserve"> </v>
      </c>
      <c r="AO80" s="558" t="str">
        <f t="shared" si="18"/>
        <v xml:space="preserve"> </v>
      </c>
      <c r="AR80" s="6" t="str">
        <v/>
      </c>
    </row>
    <row r="81" spans="1:44" ht="13" x14ac:dyDescent="0.25">
      <c r="A81" s="607" t="s">
        <v>680</v>
      </c>
      <c r="B81" s="27" t="s">
        <v>43</v>
      </c>
      <c r="C81" s="27" t="s">
        <v>681</v>
      </c>
      <c r="D81" s="27">
        <v>200946</v>
      </c>
      <c r="E81" s="27" t="s">
        <v>52</v>
      </c>
      <c r="F81" s="27" t="s">
        <v>41</v>
      </c>
      <c r="G81" s="27" t="s">
        <v>6</v>
      </c>
      <c r="H81" s="608">
        <v>45236</v>
      </c>
      <c r="I81" s="63">
        <v>4</v>
      </c>
      <c r="J81" s="608">
        <v>45238</v>
      </c>
      <c r="K81" s="63">
        <v>3</v>
      </c>
      <c r="L81" s="608"/>
      <c r="M81" s="608"/>
      <c r="N81" s="608"/>
      <c r="O81" s="608"/>
      <c r="P81" s="608"/>
      <c r="Q81" s="608"/>
      <c r="R81" s="63">
        <f>Table4[[#This Row],[Initial Acres]]+Table4[[#This Row],[Day 2 
Acres]]+Table4[[#This Row],[Day 3
Acres]]+Table4[[#This Row],[Day 4
Acres]]+Table4[[#This Row],[Day 5 
Acres]]</f>
        <v>7</v>
      </c>
      <c r="S81" s="27" t="str">
        <f>IF($R81&lt;=0, " ",IF($R81&lt;=0.25, "A",IF($R81&lt;10, "B",IF($R81&lt;100, "C", IF($R81&lt;300, "D",IF($R81&lt;1000, "E",IF($R81&lt;5000,"F",IF($R81&gt;=5000, "G"))))))))</f>
        <v>B</v>
      </c>
      <c r="T81" s="27" t="s">
        <v>512</v>
      </c>
      <c r="U81" s="27" t="s">
        <v>508</v>
      </c>
      <c r="V81" s="608"/>
      <c r="W81" s="608"/>
      <c r="X81" s="27" t="s">
        <v>107</v>
      </c>
      <c r="Y81" s="637" t="s">
        <v>682</v>
      </c>
      <c r="Z81" s="610"/>
      <c r="AA81" s="6"/>
      <c r="AK81" s="557">
        <f t="shared" si="14"/>
        <v>45236</v>
      </c>
      <c r="AL81" s="321">
        <f t="shared" si="15"/>
        <v>45238</v>
      </c>
      <c r="AM81" s="321" t="str">
        <f t="shared" si="16"/>
        <v xml:space="preserve"> </v>
      </c>
      <c r="AN81" s="321" t="str">
        <f t="shared" si="17"/>
        <v xml:space="preserve"> </v>
      </c>
      <c r="AO81" s="558" t="str">
        <f t="shared" si="18"/>
        <v xml:space="preserve"> </v>
      </c>
      <c r="AR81" s="6">
        <v>18</v>
      </c>
    </row>
    <row r="82" spans="1:44" ht="13" x14ac:dyDescent="0.25">
      <c r="A82" s="607" t="s">
        <v>586</v>
      </c>
      <c r="B82" s="27" t="s">
        <v>43</v>
      </c>
      <c r="C82" s="27" t="s">
        <v>683</v>
      </c>
      <c r="D82" s="27">
        <v>200947</v>
      </c>
      <c r="E82" s="27" t="s">
        <v>52</v>
      </c>
      <c r="F82" s="27" t="s">
        <v>41</v>
      </c>
      <c r="G82" s="27"/>
      <c r="H82" s="608">
        <v>45236</v>
      </c>
      <c r="I82" s="63">
        <v>4</v>
      </c>
      <c r="J82" s="608"/>
      <c r="K82" s="63"/>
      <c r="L82" s="608"/>
      <c r="M82" s="63"/>
      <c r="N82" s="608"/>
      <c r="O82" s="63"/>
      <c r="P82" s="608"/>
      <c r="Q82" s="63"/>
      <c r="R82" s="63">
        <f>Table4[[#This Row],[Initial Acres]]+Table4[[#This Row],[Day 2 
Acres]]+Table4[[#This Row],[Day 3
Acres]]+Table4[[#This Row],[Day 4
Acres]]+Table4[[#This Row],[Day 5 
Acres]]</f>
        <v>4</v>
      </c>
      <c r="S82" s="27" t="str">
        <f>IF($R82&lt;=0, " ",IF($R82&lt;=0.25, "A",IF($R82&lt;10, "B",IF($R82&lt;100, "C", IF($R82&lt;300, "D",IF($R82&lt;1000, "E",IF($R82&lt;5000,"F",IF($R82&gt;=5000, "G"))))))))</f>
        <v>B</v>
      </c>
      <c r="T82" s="27" t="s">
        <v>512</v>
      </c>
      <c r="U82" s="27" t="s">
        <v>508</v>
      </c>
      <c r="V82" s="27"/>
      <c r="W82" s="27" t="s">
        <v>107</v>
      </c>
      <c r="X82" s="27" t="s">
        <v>107</v>
      </c>
      <c r="Y82" s="27" t="s">
        <v>684</v>
      </c>
      <c r="Z82" s="615"/>
      <c r="AA82" s="6"/>
      <c r="AK82" s="557">
        <f t="shared" si="14"/>
        <v>45236</v>
      </c>
      <c r="AL82" s="321" t="str">
        <f t="shared" si="15"/>
        <v xml:space="preserve"> </v>
      </c>
      <c r="AM82" s="321" t="str">
        <f t="shared" si="16"/>
        <v xml:space="preserve"> </v>
      </c>
      <c r="AN82" s="321" t="str">
        <f t="shared" si="17"/>
        <v xml:space="preserve"> </v>
      </c>
      <c r="AO82" s="558" t="str">
        <f t="shared" si="18"/>
        <v xml:space="preserve"> </v>
      </c>
      <c r="AR82" s="6">
        <v>18</v>
      </c>
    </row>
    <row r="83" spans="1:44" ht="13" x14ac:dyDescent="0.25">
      <c r="A83" s="607" t="s">
        <v>685</v>
      </c>
      <c r="B83" s="27" t="s">
        <v>43</v>
      </c>
      <c r="C83" s="27" t="s">
        <v>689</v>
      </c>
      <c r="D83" s="27">
        <v>200950</v>
      </c>
      <c r="E83" s="27" t="s">
        <v>52</v>
      </c>
      <c r="F83" s="27" t="s">
        <v>65</v>
      </c>
      <c r="G83" s="27"/>
      <c r="H83" s="608">
        <v>45237</v>
      </c>
      <c r="I83" s="63">
        <v>30</v>
      </c>
      <c r="J83" s="608"/>
      <c r="K83" s="63"/>
      <c r="L83" s="608"/>
      <c r="M83" s="63"/>
      <c r="N83" s="608"/>
      <c r="O83" s="63"/>
      <c r="P83" s="608"/>
      <c r="Q83" s="63"/>
      <c r="R83" s="63">
        <f>Table4[[#This Row],[Initial Acres]]+Table4[[#This Row],[Day 2 
Acres]]+Table4[[#This Row],[Day 3
Acres]]+Table4[[#This Row],[Day 4
Acres]]+Table4[[#This Row],[Day 5 
Acres]]</f>
        <v>30</v>
      </c>
      <c r="S83" s="27" t="str">
        <f>IF($R83&lt;=0, " ",IF($R83&lt;=0.25, "A",IF($R83&lt;10, "B",IF($R83&lt;100, "C", IF($R83&lt;300, "D",IF($R83&lt;1000, "E",IF($R83&lt;5000,"F",IF($R83&gt;=5000, "G"))))))))</f>
        <v>C</v>
      </c>
      <c r="T83" s="27" t="s">
        <v>512</v>
      </c>
      <c r="U83" s="27" t="s">
        <v>508</v>
      </c>
      <c r="V83" s="27"/>
      <c r="W83" s="27" t="s">
        <v>107</v>
      </c>
      <c r="X83" s="27" t="s">
        <v>107</v>
      </c>
      <c r="Y83" s="27"/>
      <c r="Z83" s="610" t="s">
        <v>690</v>
      </c>
      <c r="AA83" s="6"/>
      <c r="AK83" s="557">
        <f t="shared" si="14"/>
        <v>45237</v>
      </c>
      <c r="AL83" s="321" t="str">
        <f t="shared" si="15"/>
        <v xml:space="preserve"> </v>
      </c>
      <c r="AM83" s="321" t="str">
        <f t="shared" si="16"/>
        <v xml:space="preserve"> </v>
      </c>
      <c r="AN83" s="321" t="str">
        <f t="shared" si="17"/>
        <v xml:space="preserve"> </v>
      </c>
      <c r="AO83" s="558" t="str">
        <f t="shared" si="18"/>
        <v xml:space="preserve"> </v>
      </c>
      <c r="AR83" s="6">
        <v>18</v>
      </c>
    </row>
    <row r="84" spans="1:44" ht="13" x14ac:dyDescent="0.25">
      <c r="A84" s="612" t="s">
        <v>687</v>
      </c>
      <c r="B84" s="27" t="s">
        <v>43</v>
      </c>
      <c r="C84" s="27" t="s">
        <v>688</v>
      </c>
      <c r="D84" s="27">
        <v>200951</v>
      </c>
      <c r="E84" s="27" t="s">
        <v>52</v>
      </c>
      <c r="F84" s="27" t="s">
        <v>143</v>
      </c>
      <c r="G84" s="27"/>
      <c r="H84" s="608">
        <v>45237</v>
      </c>
      <c r="I84" s="63">
        <v>10</v>
      </c>
      <c r="J84" s="608">
        <v>45238</v>
      </c>
      <c r="K84" s="63">
        <v>15</v>
      </c>
      <c r="L84" s="608">
        <v>45239</v>
      </c>
      <c r="M84" s="63">
        <v>5</v>
      </c>
      <c r="N84" s="608"/>
      <c r="O84" s="63"/>
      <c r="P84" s="608"/>
      <c r="Q84" s="63"/>
      <c r="R84" s="63">
        <f>Table4[[#This Row],[Initial Acres]]+Table4[[#This Row],[Day 2 
Acres]]+Table4[[#This Row],[Day 3
Acres]]+Table4[[#This Row],[Day 4
Acres]]+Table4[[#This Row],[Day 5 
Acres]]</f>
        <v>30</v>
      </c>
      <c r="S84" s="27" t="str">
        <f>IF($R84&lt;=0, " ",IF($R84&lt;=0.25, "A",IF($R84&lt;10, "B",IF($R84&lt;100, "C", IF($R84&lt;300, "D",IF($R84&lt;1000, "E",IF($R84&lt;5000,"F",IF($R84&gt;=5000, "G"))))))))</f>
        <v>C</v>
      </c>
      <c r="T84" s="27" t="s">
        <v>512</v>
      </c>
      <c r="U84" s="27" t="s">
        <v>508</v>
      </c>
      <c r="V84" s="27"/>
      <c r="W84" s="27" t="s">
        <v>107</v>
      </c>
      <c r="X84" s="27" t="s">
        <v>107</v>
      </c>
      <c r="Y84" s="637" t="s">
        <v>1132</v>
      </c>
      <c r="Z84" s="610" t="s">
        <v>1133</v>
      </c>
      <c r="AA84" s="6"/>
      <c r="AK84" s="557">
        <f t="shared" si="14"/>
        <v>45237</v>
      </c>
      <c r="AL84" s="321">
        <f t="shared" si="15"/>
        <v>45238</v>
      </c>
      <c r="AM84" s="321">
        <f t="shared" si="16"/>
        <v>45239</v>
      </c>
      <c r="AN84" s="321" t="str">
        <f t="shared" si="17"/>
        <v xml:space="preserve"> </v>
      </c>
      <c r="AO84" s="558" t="str">
        <f t="shared" si="18"/>
        <v xml:space="preserve"> </v>
      </c>
      <c r="AR84" s="6">
        <v>18</v>
      </c>
    </row>
    <row r="85" spans="1:44" ht="13" x14ac:dyDescent="0.25">
      <c r="A85" s="607" t="s">
        <v>685</v>
      </c>
      <c r="B85" s="27" t="s">
        <v>43</v>
      </c>
      <c r="C85" s="27" t="s">
        <v>686</v>
      </c>
      <c r="D85" s="27">
        <v>200952</v>
      </c>
      <c r="E85" s="27" t="s">
        <v>52</v>
      </c>
      <c r="F85" s="27" t="s">
        <v>65</v>
      </c>
      <c r="G85" s="27"/>
      <c r="H85" s="608">
        <v>45237</v>
      </c>
      <c r="I85" s="63">
        <v>20</v>
      </c>
      <c r="J85" s="608"/>
      <c r="K85" s="63"/>
      <c r="L85" s="608"/>
      <c r="M85" s="63"/>
      <c r="N85" s="608"/>
      <c r="O85" s="63"/>
      <c r="P85" s="608"/>
      <c r="Q85" s="63"/>
      <c r="R85" s="63">
        <f>Table4[[#This Row],[Initial Acres]]+Table4[[#This Row],[Day 2 
Acres]]+Table4[[#This Row],[Day 3
Acres]]+Table4[[#This Row],[Day 4
Acres]]+Table4[[#This Row],[Day 5 
Acres]]</f>
        <v>20</v>
      </c>
      <c r="S85" s="27" t="str">
        <f>IF($R85&lt;=0, " ",IF($R85&lt;=0.25, "A",IF($R85&lt;10, "B",IF($R85&lt;100, "C", IF($R85&lt;300, "D",IF($R85&lt;1000, "E",IF($R85&lt;5000,"F",IF($R85&gt;=5000, "G"))))))))</f>
        <v>C</v>
      </c>
      <c r="T85" s="27" t="s">
        <v>512</v>
      </c>
      <c r="U85" s="27" t="s">
        <v>508</v>
      </c>
      <c r="V85" s="27"/>
      <c r="W85" s="27" t="s">
        <v>107</v>
      </c>
      <c r="X85" s="27" t="s">
        <v>107</v>
      </c>
      <c r="Y85" s="27"/>
      <c r="Z85" s="610"/>
      <c r="AA85" s="6"/>
      <c r="AK85" s="557">
        <f t="shared" si="14"/>
        <v>45237</v>
      </c>
      <c r="AL85" s="321" t="str">
        <f t="shared" si="15"/>
        <v xml:space="preserve"> </v>
      </c>
      <c r="AM85" s="321" t="str">
        <f t="shared" si="16"/>
        <v xml:space="preserve"> </v>
      </c>
      <c r="AN85" s="321" t="str">
        <f t="shared" si="17"/>
        <v xml:space="preserve"> </v>
      </c>
      <c r="AO85" s="558" t="str">
        <f t="shared" si="18"/>
        <v xml:space="preserve"> </v>
      </c>
      <c r="AR85" s="6">
        <v>18</v>
      </c>
    </row>
    <row r="86" spans="1:44" ht="13" x14ac:dyDescent="0.25">
      <c r="A86" s="613" t="s">
        <v>685</v>
      </c>
      <c r="B86" s="614" t="s">
        <v>43</v>
      </c>
      <c r="C86" s="614" t="s">
        <v>691</v>
      </c>
      <c r="D86" s="27">
        <v>200953</v>
      </c>
      <c r="E86" s="27" t="s">
        <v>52</v>
      </c>
      <c r="F86" s="27" t="s">
        <v>65</v>
      </c>
      <c r="G86" s="27"/>
      <c r="H86" s="608">
        <v>45238</v>
      </c>
      <c r="I86" s="63">
        <v>5</v>
      </c>
      <c r="J86" s="608"/>
      <c r="K86" s="63"/>
      <c r="L86" s="608"/>
      <c r="M86" s="63"/>
      <c r="N86" s="608"/>
      <c r="O86" s="63"/>
      <c r="P86" s="608"/>
      <c r="Q86" s="63"/>
      <c r="R86" s="63">
        <f>Table4[[#This Row],[Initial Acres]]+Table4[[#This Row],[Day 2 
Acres]]+Table4[[#This Row],[Day 3
Acres]]+Table4[[#This Row],[Day 4
Acres]]+Table4[[#This Row],[Day 5 
Acres]]</f>
        <v>5</v>
      </c>
      <c r="S86" s="27" t="str">
        <f>IF($R86&lt;=0, " ",IF($R86&lt;=0.25, "A",IF($R86&lt;10, "B",IF($R86&lt;100, "C", IF($R86&lt;300, "D",IF($R86&lt;1000, "E",IF($R86&lt;5000,"F",IF($R86&gt;=5000, "G"))))))))</f>
        <v>B</v>
      </c>
      <c r="T86" s="27" t="s">
        <v>512</v>
      </c>
      <c r="U86" s="27" t="s">
        <v>508</v>
      </c>
      <c r="V86" s="27"/>
      <c r="W86" s="27" t="s">
        <v>107</v>
      </c>
      <c r="X86" s="27" t="s">
        <v>107</v>
      </c>
      <c r="Y86" s="27"/>
      <c r="Z86" s="610" t="s">
        <v>692</v>
      </c>
      <c r="AA86" s="6"/>
      <c r="AK86" s="557">
        <f t="shared" si="14"/>
        <v>45238</v>
      </c>
      <c r="AL86" s="321" t="str">
        <f t="shared" si="15"/>
        <v xml:space="preserve"> </v>
      </c>
      <c r="AM86" s="321" t="str">
        <f t="shared" si="16"/>
        <v xml:space="preserve"> </v>
      </c>
      <c r="AN86" s="321" t="str">
        <f t="shared" si="17"/>
        <v xml:space="preserve"> </v>
      </c>
      <c r="AO86" s="558" t="str">
        <f t="shared" si="18"/>
        <v xml:space="preserve"> </v>
      </c>
      <c r="AR86" s="6">
        <v>18</v>
      </c>
    </row>
    <row r="87" spans="1:44" ht="13" x14ac:dyDescent="0.25">
      <c r="A87" s="607"/>
      <c r="B87" s="27"/>
      <c r="C87" s="27"/>
      <c r="D87" s="27"/>
      <c r="E87" s="27"/>
      <c r="F87" s="27"/>
      <c r="G87" s="27"/>
      <c r="H87" s="608"/>
      <c r="I87" s="63"/>
      <c r="J87" s="608"/>
      <c r="K87" s="63"/>
      <c r="L87" s="608"/>
      <c r="M87" s="63"/>
      <c r="N87" s="608"/>
      <c r="O87" s="63"/>
      <c r="P87" s="608"/>
      <c r="Q87" s="63"/>
      <c r="R87" s="63">
        <f>Table4[[#This Row],[Initial Acres]]+Table4[[#This Row],[Day 2 
Acres]]+Table4[[#This Row],[Day 3
Acres]]+Table4[[#This Row],[Day 4
Acres]]+Table4[[#This Row],[Day 5 
Acres]]</f>
        <v>0</v>
      </c>
      <c r="S87" s="27" t="str">
        <f>IF($R87&lt;=0, " ",IF($R87&lt;=0.25, "A",IF($R87&lt;10, "B",IF($R87&lt;100, "C", IF($R87&lt;300, "D",IF($R87&lt;1000, "E",IF($R87&lt;5000,"F",IF($R87&gt;=5000, "G"))))))))</f>
        <v xml:space="preserve"> </v>
      </c>
      <c r="T87" s="27"/>
      <c r="U87" s="27"/>
      <c r="V87" s="27"/>
      <c r="W87" s="27"/>
      <c r="X87" s="27"/>
      <c r="Y87" s="27"/>
      <c r="Z87" s="610"/>
      <c r="AA87" s="6"/>
      <c r="AK87" s="557" t="str">
        <f t="shared" si="14"/>
        <v xml:space="preserve"> </v>
      </c>
      <c r="AL87" s="321" t="str">
        <f t="shared" si="15"/>
        <v xml:space="preserve"> </v>
      </c>
      <c r="AM87" s="321" t="str">
        <f t="shared" si="16"/>
        <v xml:space="preserve"> </v>
      </c>
      <c r="AN87" s="321" t="str">
        <f t="shared" si="17"/>
        <v xml:space="preserve"> </v>
      </c>
      <c r="AO87" s="558" t="str">
        <f t="shared" si="18"/>
        <v xml:space="preserve"> </v>
      </c>
      <c r="AR87" s="6" t="str">
        <v/>
      </c>
    </row>
    <row r="88" spans="1:44" ht="13" x14ac:dyDescent="0.25">
      <c r="A88" s="607"/>
      <c r="B88" s="27"/>
      <c r="C88" s="27"/>
      <c r="D88" s="27"/>
      <c r="E88" s="27"/>
      <c r="F88" s="27"/>
      <c r="G88" s="27"/>
      <c r="H88" s="608"/>
      <c r="I88" s="63"/>
      <c r="J88" s="608"/>
      <c r="K88" s="63"/>
      <c r="L88" s="608"/>
      <c r="M88" s="63"/>
      <c r="N88" s="608"/>
      <c r="O88" s="63"/>
      <c r="P88" s="608"/>
      <c r="Q88" s="63"/>
      <c r="R88" s="63">
        <f>Table4[[#This Row],[Initial Acres]]+Table4[[#This Row],[Day 2 
Acres]]+Table4[[#This Row],[Day 3
Acres]]+Table4[[#This Row],[Day 4
Acres]]+Table4[[#This Row],[Day 5 
Acres]]</f>
        <v>0</v>
      </c>
      <c r="S88" s="27" t="str">
        <f>IF($R88&lt;=0, " ",IF($R88&lt;=0.25, "A",IF($R88&lt;10, "B",IF($R88&lt;100, "C", IF($R88&lt;300, "D",IF($R88&lt;1000, "E",IF($R88&lt;5000,"F",IF($R88&gt;=5000, "G"))))))))</f>
        <v xml:space="preserve"> </v>
      </c>
      <c r="T88" s="27"/>
      <c r="U88" s="27"/>
      <c r="V88" s="27"/>
      <c r="W88" s="27"/>
      <c r="X88" s="27"/>
      <c r="Y88" s="27"/>
      <c r="Z88" s="610"/>
      <c r="AA88" s="6"/>
      <c r="AK88" s="557" t="str">
        <f t="shared" si="14"/>
        <v xml:space="preserve"> </v>
      </c>
      <c r="AL88" s="321" t="str">
        <f t="shared" si="15"/>
        <v xml:space="preserve"> </v>
      </c>
      <c r="AM88" s="321" t="str">
        <f t="shared" si="16"/>
        <v xml:space="preserve"> </v>
      </c>
      <c r="AN88" s="321" t="str">
        <f t="shared" si="17"/>
        <v xml:space="preserve"> </v>
      </c>
      <c r="AO88" s="558" t="str">
        <f t="shared" si="18"/>
        <v xml:space="preserve"> </v>
      </c>
      <c r="AR88" s="6" t="str">
        <v/>
      </c>
    </row>
    <row r="89" spans="1:44" ht="13" x14ac:dyDescent="0.25">
      <c r="A89" s="607"/>
      <c r="B89" s="27"/>
      <c r="C89" s="27"/>
      <c r="D89" s="27"/>
      <c r="E89" s="27"/>
      <c r="F89" s="27"/>
      <c r="G89" s="27"/>
      <c r="H89" s="608"/>
      <c r="I89" s="63"/>
      <c r="J89" s="608"/>
      <c r="K89" s="63"/>
      <c r="L89" s="608"/>
      <c r="M89" s="63"/>
      <c r="N89" s="608"/>
      <c r="O89" s="63"/>
      <c r="P89" s="608"/>
      <c r="Q89" s="63"/>
      <c r="R89" s="63">
        <f>Table4[[#This Row],[Initial Acres]]+Table4[[#This Row],[Day 2 
Acres]]+Table4[[#This Row],[Day 3
Acres]]+Table4[[#This Row],[Day 4
Acres]]+Table4[[#This Row],[Day 5 
Acres]]</f>
        <v>0</v>
      </c>
      <c r="S89" s="27" t="str">
        <f>IF($R89&lt;=0, " ",IF($R89&lt;=0.25, "A",IF($R89&lt;10, "B",IF($R89&lt;100, "C", IF($R89&lt;300, "D",IF($R89&lt;1000, "E",IF($R89&lt;5000,"F",IF($R89&gt;=5000, "G"))))))))</f>
        <v xml:space="preserve"> </v>
      </c>
      <c r="T89" s="27"/>
      <c r="U89" s="27"/>
      <c r="V89" s="27"/>
      <c r="W89" s="27"/>
      <c r="X89" s="27"/>
      <c r="Y89" s="27"/>
      <c r="Z89" s="610"/>
      <c r="AA89" s="6"/>
      <c r="AK89" s="557" t="str">
        <f t="shared" si="14"/>
        <v xml:space="preserve"> </v>
      </c>
      <c r="AL89" s="321" t="str">
        <f t="shared" si="15"/>
        <v xml:space="preserve"> </v>
      </c>
      <c r="AM89" s="321" t="str">
        <f t="shared" si="16"/>
        <v xml:space="preserve"> </v>
      </c>
      <c r="AN89" s="321" t="str">
        <f t="shared" si="17"/>
        <v xml:space="preserve"> </v>
      </c>
      <c r="AO89" s="558" t="str">
        <f t="shared" si="18"/>
        <v xml:space="preserve"> </v>
      </c>
      <c r="AR89" s="6" t="str">
        <v/>
      </c>
    </row>
    <row r="90" spans="1:44" ht="13" x14ac:dyDescent="0.25">
      <c r="A90" s="607"/>
      <c r="B90" s="27"/>
      <c r="C90" s="27"/>
      <c r="D90" s="27"/>
      <c r="E90" s="27"/>
      <c r="F90" s="27"/>
      <c r="G90" s="27"/>
      <c r="H90" s="608"/>
      <c r="I90" s="63"/>
      <c r="J90" s="608"/>
      <c r="K90" s="63"/>
      <c r="L90" s="608"/>
      <c r="M90" s="63"/>
      <c r="N90" s="608"/>
      <c r="O90" s="63"/>
      <c r="P90" s="608"/>
      <c r="Q90" s="63"/>
      <c r="R90" s="63">
        <f>Table4[[#This Row],[Initial Acres]]+Table4[[#This Row],[Day 2 
Acres]]+Table4[[#This Row],[Day 3
Acres]]+Table4[[#This Row],[Day 4
Acres]]+Table4[[#This Row],[Day 5 
Acres]]</f>
        <v>0</v>
      </c>
      <c r="S90" s="27" t="str">
        <f>IF($R90&lt;=0, " ",IF($R90&lt;=0.25, "A",IF($R90&lt;10, "B",IF($R90&lt;100, "C", IF($R90&lt;300, "D",IF($R90&lt;1000, "E",IF($R90&lt;5000,"F",IF($R90&gt;=5000, "G"))))))))</f>
        <v xml:space="preserve"> </v>
      </c>
      <c r="T90" s="27"/>
      <c r="U90" s="27"/>
      <c r="V90" s="27"/>
      <c r="W90" s="27"/>
      <c r="X90" s="27"/>
      <c r="Y90" s="27"/>
      <c r="Z90" s="610"/>
      <c r="AA90" s="6"/>
      <c r="AK90" s="557" t="str">
        <f t="shared" si="14"/>
        <v xml:space="preserve"> </v>
      </c>
      <c r="AL90" s="321" t="str">
        <f t="shared" si="15"/>
        <v xml:space="preserve"> </v>
      </c>
      <c r="AM90" s="321" t="str">
        <f t="shared" si="16"/>
        <v xml:space="preserve"> </v>
      </c>
      <c r="AN90" s="321" t="str">
        <f t="shared" si="17"/>
        <v xml:space="preserve"> </v>
      </c>
      <c r="AO90" s="558" t="str">
        <f t="shared" si="18"/>
        <v xml:space="preserve"> </v>
      </c>
      <c r="AR90" s="6" t="str">
        <v/>
      </c>
    </row>
    <row r="91" spans="1:44" ht="13" x14ac:dyDescent="0.25">
      <c r="A91" s="607"/>
      <c r="B91" s="27"/>
      <c r="C91" s="27"/>
      <c r="D91" s="27"/>
      <c r="E91" s="27"/>
      <c r="F91" s="27"/>
      <c r="G91" s="27"/>
      <c r="H91" s="608"/>
      <c r="I91" s="63"/>
      <c r="J91" s="608"/>
      <c r="K91" s="63"/>
      <c r="L91" s="608"/>
      <c r="M91" s="63"/>
      <c r="N91" s="608"/>
      <c r="O91" s="63"/>
      <c r="P91" s="608"/>
      <c r="Q91" s="63"/>
      <c r="R91" s="63">
        <f>Table4[[#This Row],[Initial Acres]]+Table4[[#This Row],[Day 2 
Acres]]+Table4[[#This Row],[Day 3
Acres]]+Table4[[#This Row],[Day 4
Acres]]+Table4[[#This Row],[Day 5 
Acres]]</f>
        <v>0</v>
      </c>
      <c r="S91" s="27" t="str">
        <f>IF($R91&lt;=0, " ",IF($R91&lt;=0.25, "A",IF($R91&lt;10, "B",IF($R91&lt;100, "C", IF($R91&lt;300, "D",IF($R91&lt;1000, "E",IF($R91&lt;5000,"F",IF($R91&gt;=5000, "G"))))))))</f>
        <v xml:space="preserve"> </v>
      </c>
      <c r="T91" s="27"/>
      <c r="U91" s="27"/>
      <c r="V91" s="27"/>
      <c r="W91" s="27"/>
      <c r="X91" s="27"/>
      <c r="Y91" s="27"/>
      <c r="Z91" s="610"/>
      <c r="AA91" s="6"/>
      <c r="AK91" s="557" t="str">
        <f t="shared" si="14"/>
        <v xml:space="preserve"> </v>
      </c>
      <c r="AL91" s="321" t="str">
        <f t="shared" si="15"/>
        <v xml:space="preserve"> </v>
      </c>
      <c r="AM91" s="321" t="str">
        <f t="shared" si="16"/>
        <v xml:space="preserve"> </v>
      </c>
      <c r="AN91" s="321" t="str">
        <f t="shared" si="17"/>
        <v xml:space="preserve"> </v>
      </c>
      <c r="AO91" s="558" t="str">
        <f t="shared" si="18"/>
        <v xml:space="preserve"> </v>
      </c>
      <c r="AR91" s="6" t="str">
        <v/>
      </c>
    </row>
    <row r="92" spans="1:44" ht="13" x14ac:dyDescent="0.25">
      <c r="A92" s="607"/>
      <c r="B92" s="27"/>
      <c r="C92" s="27"/>
      <c r="D92" s="27"/>
      <c r="E92" s="27"/>
      <c r="F92" s="27"/>
      <c r="G92" s="27"/>
      <c r="H92" s="608"/>
      <c r="I92" s="63"/>
      <c r="J92" s="608"/>
      <c r="K92" s="63"/>
      <c r="L92" s="608"/>
      <c r="M92" s="63"/>
      <c r="N92" s="608"/>
      <c r="O92" s="63"/>
      <c r="P92" s="608"/>
      <c r="Q92" s="63"/>
      <c r="R92" s="63">
        <f>Table4[[#This Row],[Initial Acres]]+Table4[[#This Row],[Day 2 
Acres]]+Table4[[#This Row],[Day 3
Acres]]+Table4[[#This Row],[Day 4
Acres]]+Table4[[#This Row],[Day 5 
Acres]]</f>
        <v>0</v>
      </c>
      <c r="S92" s="27" t="str">
        <f>IF($R92&lt;=0, " ",IF($R92&lt;=0.25, "A",IF($R92&lt;10, "B",IF($R92&lt;100, "C", IF($R92&lt;300, "D",IF($R92&lt;1000, "E",IF($R92&lt;5000,"F",IF($R92&gt;=5000, "G"))))))))</f>
        <v xml:space="preserve"> </v>
      </c>
      <c r="T92" s="27"/>
      <c r="U92" s="27"/>
      <c r="V92" s="27"/>
      <c r="W92" s="27"/>
      <c r="X92" s="27"/>
      <c r="Y92" s="27"/>
      <c r="Z92" s="610"/>
      <c r="AA92" s="6"/>
      <c r="AK92" s="557" t="str">
        <f t="shared" si="14"/>
        <v xml:space="preserve"> </v>
      </c>
      <c r="AL92" s="321" t="str">
        <f t="shared" si="15"/>
        <v xml:space="preserve"> </v>
      </c>
      <c r="AM92" s="321" t="str">
        <f t="shared" si="16"/>
        <v xml:space="preserve"> </v>
      </c>
      <c r="AN92" s="321" t="str">
        <f t="shared" si="17"/>
        <v xml:space="preserve"> </v>
      </c>
      <c r="AO92" s="558" t="str">
        <f t="shared" si="18"/>
        <v xml:space="preserve"> </v>
      </c>
      <c r="AR92" s="6" t="str">
        <v/>
      </c>
    </row>
    <row r="93" spans="1:44" ht="13" x14ac:dyDescent="0.25">
      <c r="A93" s="607"/>
      <c r="B93" s="27"/>
      <c r="C93" s="27"/>
      <c r="D93" s="27"/>
      <c r="E93" s="27"/>
      <c r="F93" s="27"/>
      <c r="G93" s="27"/>
      <c r="H93" s="608"/>
      <c r="I93" s="63"/>
      <c r="J93" s="608"/>
      <c r="K93" s="63"/>
      <c r="L93" s="608"/>
      <c r="M93" s="63"/>
      <c r="N93" s="608"/>
      <c r="O93" s="63"/>
      <c r="P93" s="608"/>
      <c r="Q93" s="63"/>
      <c r="R93" s="63">
        <f>Table4[[#This Row],[Initial Acres]]+Table4[[#This Row],[Day 2 
Acres]]+Table4[[#This Row],[Day 3
Acres]]+Table4[[#This Row],[Day 4
Acres]]+Table4[[#This Row],[Day 5 
Acres]]</f>
        <v>0</v>
      </c>
      <c r="S93" s="27" t="str">
        <f>IF($R93&lt;=0, " ",IF($R93&lt;=0.25, "A",IF($R93&lt;10, "B",IF($R93&lt;100, "C", IF($R93&lt;300, "D",IF($R93&lt;1000, "E",IF($R93&lt;5000,"F",IF($R93&gt;=5000, "G"))))))))</f>
        <v xml:space="preserve"> </v>
      </c>
      <c r="T93" s="27"/>
      <c r="U93" s="27"/>
      <c r="V93" s="27"/>
      <c r="W93" s="27"/>
      <c r="X93" s="27"/>
      <c r="Y93" s="27"/>
      <c r="Z93" s="610"/>
      <c r="AA93" s="6"/>
      <c r="AK93" s="557" t="str">
        <f t="shared" si="14"/>
        <v xml:space="preserve"> </v>
      </c>
      <c r="AL93" s="321" t="str">
        <f t="shared" si="15"/>
        <v xml:space="preserve"> </v>
      </c>
      <c r="AM93" s="321" t="str">
        <f t="shared" si="16"/>
        <v xml:space="preserve"> </v>
      </c>
      <c r="AN93" s="321" t="str">
        <f t="shared" si="17"/>
        <v xml:space="preserve"> </v>
      </c>
      <c r="AO93" s="558" t="str">
        <f t="shared" si="18"/>
        <v xml:space="preserve"> </v>
      </c>
      <c r="AR93" s="6" t="str">
        <v/>
      </c>
    </row>
    <row r="94" spans="1:44" ht="13" x14ac:dyDescent="0.25">
      <c r="A94" s="607"/>
      <c r="B94" s="27"/>
      <c r="C94" s="27"/>
      <c r="D94" s="27"/>
      <c r="E94" s="27"/>
      <c r="F94" s="27"/>
      <c r="G94" s="27"/>
      <c r="H94" s="608"/>
      <c r="I94" s="63"/>
      <c r="J94" s="608"/>
      <c r="K94" s="63"/>
      <c r="L94" s="608"/>
      <c r="M94" s="63"/>
      <c r="N94" s="608"/>
      <c r="O94" s="63"/>
      <c r="P94" s="608"/>
      <c r="Q94" s="63"/>
      <c r="R94" s="63">
        <f>Table4[[#This Row],[Initial Acres]]+Table4[[#This Row],[Day 2 
Acres]]+Table4[[#This Row],[Day 3
Acres]]+Table4[[#This Row],[Day 4
Acres]]+Table4[[#This Row],[Day 5 
Acres]]</f>
        <v>0</v>
      </c>
      <c r="S94" s="27" t="str">
        <f>IF($R94&lt;=0, " ",IF($R94&lt;=0.25, "A",IF($R94&lt;10, "B",IF($R94&lt;100, "C", IF($R94&lt;300, "D",IF($R94&lt;1000, "E",IF($R94&lt;5000,"F",IF($R94&gt;=5000, "G"))))))))</f>
        <v xml:space="preserve"> </v>
      </c>
      <c r="T94" s="27"/>
      <c r="U94" s="27"/>
      <c r="V94" s="27"/>
      <c r="W94" s="27"/>
      <c r="X94" s="27"/>
      <c r="Y94" s="27"/>
      <c r="Z94" s="610"/>
      <c r="AA94" s="6"/>
      <c r="AK94" s="557" t="str">
        <f t="shared" si="14"/>
        <v xml:space="preserve"> </v>
      </c>
      <c r="AL94" s="321" t="str">
        <f t="shared" si="15"/>
        <v xml:space="preserve"> </v>
      </c>
      <c r="AM94" s="321" t="str">
        <f t="shared" si="16"/>
        <v xml:space="preserve"> </v>
      </c>
      <c r="AN94" s="321" t="str">
        <f t="shared" si="17"/>
        <v xml:space="preserve"> </v>
      </c>
      <c r="AO94" s="558" t="str">
        <f t="shared" si="18"/>
        <v xml:space="preserve"> </v>
      </c>
      <c r="AR94" s="6" t="str">
        <v/>
      </c>
    </row>
    <row r="95" spans="1:44" ht="13" x14ac:dyDescent="0.25">
      <c r="A95" s="607"/>
      <c r="B95" s="27"/>
      <c r="C95" s="27"/>
      <c r="D95" s="27"/>
      <c r="E95" s="27"/>
      <c r="F95" s="27"/>
      <c r="G95" s="27"/>
      <c r="H95" s="608"/>
      <c r="I95" s="63"/>
      <c r="J95" s="608"/>
      <c r="K95" s="63"/>
      <c r="L95" s="608"/>
      <c r="M95" s="63"/>
      <c r="N95" s="608"/>
      <c r="O95" s="63"/>
      <c r="P95" s="608"/>
      <c r="Q95" s="63"/>
      <c r="R95" s="63">
        <f>Table4[[#This Row],[Initial Acres]]+Table4[[#This Row],[Day 2 
Acres]]+Table4[[#This Row],[Day 3
Acres]]+Table4[[#This Row],[Day 4
Acres]]+Table4[[#This Row],[Day 5 
Acres]]</f>
        <v>0</v>
      </c>
      <c r="S95" s="27" t="str">
        <f>IF($R95&lt;=0, " ",IF($R95&lt;=0.25, "A",IF($R95&lt;10, "B",IF($R95&lt;100, "C", IF($R95&lt;300, "D",IF($R95&lt;1000, "E",IF($R95&lt;5000,"F",IF($R95&gt;=5000, "G"))))))))</f>
        <v xml:space="preserve"> </v>
      </c>
      <c r="T95" s="27"/>
      <c r="U95" s="27"/>
      <c r="V95" s="27"/>
      <c r="W95" s="27"/>
      <c r="X95" s="27"/>
      <c r="Y95" s="27"/>
      <c r="Z95" s="610"/>
      <c r="AA95" s="6"/>
      <c r="AK95" s="557" t="str">
        <f t="shared" si="14"/>
        <v xml:space="preserve"> </v>
      </c>
      <c r="AL95" s="321" t="str">
        <f t="shared" si="15"/>
        <v xml:space="preserve"> </v>
      </c>
      <c r="AM95" s="321" t="str">
        <f t="shared" si="16"/>
        <v xml:space="preserve"> </v>
      </c>
      <c r="AN95" s="321" t="str">
        <f t="shared" si="17"/>
        <v xml:space="preserve"> </v>
      </c>
      <c r="AO95" s="558" t="str">
        <f t="shared" si="18"/>
        <v xml:space="preserve"> </v>
      </c>
      <c r="AR95" s="6" t="str">
        <v/>
      </c>
    </row>
    <row r="96" spans="1:44" ht="13" x14ac:dyDescent="0.25">
      <c r="A96" s="607"/>
      <c r="B96" s="27"/>
      <c r="C96" s="27"/>
      <c r="D96" s="27"/>
      <c r="E96" s="27"/>
      <c r="F96" s="27"/>
      <c r="G96" s="27"/>
      <c r="H96" s="608"/>
      <c r="I96" s="63"/>
      <c r="J96" s="608"/>
      <c r="K96" s="63"/>
      <c r="L96" s="608"/>
      <c r="M96" s="63"/>
      <c r="N96" s="608"/>
      <c r="O96" s="63"/>
      <c r="P96" s="608"/>
      <c r="Q96" s="63"/>
      <c r="R96" s="63">
        <f>Table4[[#This Row],[Initial Acres]]+Table4[[#This Row],[Day 2 
Acres]]+Table4[[#This Row],[Day 3
Acres]]+Table4[[#This Row],[Day 4
Acres]]+Table4[[#This Row],[Day 5 
Acres]]</f>
        <v>0</v>
      </c>
      <c r="S96" s="27" t="str">
        <f>IF($R96&lt;=0, " ",IF($R96&lt;=0.25, "A",IF($R96&lt;10, "B",IF($R96&lt;100, "C", IF($R96&lt;300, "D",IF($R96&lt;1000, "E",IF($R96&lt;5000,"F",IF($R96&gt;=5000, "G"))))))))</f>
        <v xml:space="preserve"> </v>
      </c>
      <c r="T96" s="27"/>
      <c r="U96" s="27"/>
      <c r="V96" s="27"/>
      <c r="W96" s="27"/>
      <c r="X96" s="27"/>
      <c r="Y96" s="27"/>
      <c r="Z96" s="610"/>
      <c r="AA96" s="6"/>
      <c r="AK96" s="557" t="str">
        <f t="shared" si="14"/>
        <v xml:space="preserve"> </v>
      </c>
      <c r="AL96" s="321" t="str">
        <f t="shared" si="15"/>
        <v xml:space="preserve"> </v>
      </c>
      <c r="AM96" s="321" t="str">
        <f t="shared" si="16"/>
        <v xml:space="preserve"> </v>
      </c>
      <c r="AN96" s="321" t="str">
        <f t="shared" si="17"/>
        <v xml:space="preserve"> </v>
      </c>
      <c r="AO96" s="558" t="str">
        <f t="shared" si="18"/>
        <v xml:space="preserve"> </v>
      </c>
      <c r="AR96" s="6" t="str">
        <v/>
      </c>
    </row>
    <row r="97" spans="1:44" ht="13" x14ac:dyDescent="0.25">
      <c r="A97" s="607"/>
      <c r="B97" s="27"/>
      <c r="C97" s="27"/>
      <c r="D97" s="27"/>
      <c r="E97" s="27"/>
      <c r="F97" s="27"/>
      <c r="G97" s="27"/>
      <c r="H97" s="608"/>
      <c r="I97" s="63"/>
      <c r="J97" s="608"/>
      <c r="K97" s="63"/>
      <c r="L97" s="608"/>
      <c r="M97" s="63"/>
      <c r="N97" s="608"/>
      <c r="O97" s="63"/>
      <c r="P97" s="608"/>
      <c r="Q97" s="63"/>
      <c r="R97" s="63">
        <f>Table4[[#This Row],[Initial Acres]]+Table4[[#This Row],[Day 2 
Acres]]+Table4[[#This Row],[Day 3
Acres]]+Table4[[#This Row],[Day 4
Acres]]+Table4[[#This Row],[Day 5 
Acres]]</f>
        <v>0</v>
      </c>
      <c r="S97" s="27" t="str">
        <f>IF($R97&lt;=0, " ",IF($R97&lt;=0.25, "A",IF($R97&lt;10, "B",IF($R97&lt;100, "C", IF($R97&lt;300, "D",IF($R97&lt;1000, "E",IF($R97&lt;5000,"F",IF($R97&gt;=5000, "G"))))))))</f>
        <v xml:space="preserve"> </v>
      </c>
      <c r="T97" s="27"/>
      <c r="U97" s="27"/>
      <c r="V97" s="27"/>
      <c r="W97" s="27"/>
      <c r="X97" s="27"/>
      <c r="Y97" s="27"/>
      <c r="Z97" s="610"/>
      <c r="AA97" s="6"/>
      <c r="AK97" s="557" t="str">
        <f t="shared" si="14"/>
        <v xml:space="preserve"> </v>
      </c>
      <c r="AL97" s="321" t="str">
        <f t="shared" si="15"/>
        <v xml:space="preserve"> </v>
      </c>
      <c r="AM97" s="321" t="str">
        <f t="shared" si="16"/>
        <v xml:space="preserve"> </v>
      </c>
      <c r="AN97" s="321" t="str">
        <f t="shared" si="17"/>
        <v xml:space="preserve"> </v>
      </c>
      <c r="AO97" s="558" t="str">
        <f t="shared" si="18"/>
        <v xml:space="preserve"> </v>
      </c>
      <c r="AR97" s="6" t="str">
        <v/>
      </c>
    </row>
    <row r="98" spans="1:44" ht="13" x14ac:dyDescent="0.25">
      <c r="A98" s="607"/>
      <c r="B98" s="27"/>
      <c r="C98" s="27"/>
      <c r="D98" s="27"/>
      <c r="E98" s="27"/>
      <c r="F98" s="27"/>
      <c r="G98" s="27"/>
      <c r="H98" s="608"/>
      <c r="I98" s="63"/>
      <c r="J98" s="608"/>
      <c r="K98" s="63"/>
      <c r="L98" s="608"/>
      <c r="M98" s="63"/>
      <c r="N98" s="608"/>
      <c r="O98" s="63"/>
      <c r="P98" s="608"/>
      <c r="Q98" s="63"/>
      <c r="R98" s="63">
        <f>Table4[[#This Row],[Initial Acres]]+Table4[[#This Row],[Day 2 
Acres]]+Table4[[#This Row],[Day 3
Acres]]+Table4[[#This Row],[Day 4
Acres]]+Table4[[#This Row],[Day 5 
Acres]]</f>
        <v>0</v>
      </c>
      <c r="S98" s="27" t="str">
        <f>IF($R98&lt;=0, " ",IF($R98&lt;=0.25, "A",IF($R98&lt;10, "B",IF($R98&lt;100, "C", IF($R98&lt;300, "D",IF($R98&lt;1000, "E",IF($R98&lt;5000,"F",IF($R98&gt;=5000, "G"))))))))</f>
        <v xml:space="preserve"> </v>
      </c>
      <c r="T98" s="27"/>
      <c r="U98" s="27"/>
      <c r="V98" s="27"/>
      <c r="W98" s="27"/>
      <c r="X98" s="27"/>
      <c r="Y98" s="27"/>
      <c r="Z98" s="610"/>
      <c r="AA98" s="6"/>
      <c r="AK98" s="557" t="str">
        <f t="shared" si="14"/>
        <v xml:space="preserve"> </v>
      </c>
      <c r="AL98" s="321" t="str">
        <f t="shared" si="15"/>
        <v xml:space="preserve"> </v>
      </c>
      <c r="AM98" s="321" t="str">
        <f t="shared" si="16"/>
        <v xml:space="preserve"> </v>
      </c>
      <c r="AN98" s="321" t="str">
        <f t="shared" si="17"/>
        <v xml:space="preserve"> </v>
      </c>
      <c r="AO98" s="558" t="str">
        <f t="shared" si="18"/>
        <v xml:space="preserve"> </v>
      </c>
      <c r="AR98" s="6" t="str">
        <v/>
      </c>
    </row>
    <row r="99" spans="1:44" ht="13" x14ac:dyDescent="0.25">
      <c r="A99" s="607"/>
      <c r="B99" s="27"/>
      <c r="C99" s="27"/>
      <c r="D99" s="27"/>
      <c r="E99" s="27"/>
      <c r="F99" s="27"/>
      <c r="G99" s="27"/>
      <c r="H99" s="608"/>
      <c r="I99" s="63"/>
      <c r="J99" s="608"/>
      <c r="K99" s="63"/>
      <c r="L99" s="608"/>
      <c r="M99" s="63"/>
      <c r="N99" s="608"/>
      <c r="O99" s="63"/>
      <c r="P99" s="608"/>
      <c r="Q99" s="63"/>
      <c r="R99" s="63">
        <f>Table4[[#This Row],[Initial Acres]]+Table4[[#This Row],[Day 2 
Acres]]+Table4[[#This Row],[Day 3
Acres]]+Table4[[#This Row],[Day 4
Acres]]+Table4[[#This Row],[Day 5 
Acres]]</f>
        <v>0</v>
      </c>
      <c r="S99" s="27" t="str">
        <f>IF($R99&lt;=0, " ",IF($R99&lt;=0.25, "A",IF($R99&lt;10, "B",IF($R99&lt;100, "C", IF($R99&lt;300, "D",IF($R99&lt;1000, "E",IF($R99&lt;5000,"F",IF($R99&gt;=5000, "G"))))))))</f>
        <v xml:space="preserve"> </v>
      </c>
      <c r="T99" s="27"/>
      <c r="U99" s="27"/>
      <c r="V99" s="27"/>
      <c r="W99" s="27"/>
      <c r="X99" s="27"/>
      <c r="Y99" s="27"/>
      <c r="Z99" s="610"/>
      <c r="AA99" s="6"/>
      <c r="AK99" s="557" t="str">
        <f t="shared" si="14"/>
        <v xml:space="preserve"> </v>
      </c>
      <c r="AL99" s="321" t="str">
        <f t="shared" si="15"/>
        <v xml:space="preserve"> </v>
      </c>
      <c r="AM99" s="321" t="str">
        <f t="shared" si="16"/>
        <v xml:space="preserve"> </v>
      </c>
      <c r="AN99" s="321" t="str">
        <f t="shared" si="17"/>
        <v xml:space="preserve"> </v>
      </c>
      <c r="AO99" s="558" t="str">
        <f t="shared" si="18"/>
        <v xml:space="preserve"> </v>
      </c>
      <c r="AR99" s="6" t="str">
        <v/>
      </c>
    </row>
    <row r="100" spans="1:44" ht="13" x14ac:dyDescent="0.25">
      <c r="A100" s="607"/>
      <c r="B100" s="27"/>
      <c r="C100" s="27"/>
      <c r="D100" s="27"/>
      <c r="E100" s="27"/>
      <c r="F100" s="27"/>
      <c r="G100" s="27"/>
      <c r="H100" s="608"/>
      <c r="I100" s="63"/>
      <c r="J100" s="608"/>
      <c r="K100" s="63"/>
      <c r="L100" s="608"/>
      <c r="M100" s="63"/>
      <c r="N100" s="608"/>
      <c r="O100" s="63"/>
      <c r="P100" s="608"/>
      <c r="Q100" s="63"/>
      <c r="R100" s="63">
        <f>Table4[[#This Row],[Initial Acres]]+Table4[[#This Row],[Day 2 
Acres]]+Table4[[#This Row],[Day 3
Acres]]+Table4[[#This Row],[Day 4
Acres]]+Table4[[#This Row],[Day 5 
Acres]]</f>
        <v>0</v>
      </c>
      <c r="S100" s="27" t="str">
        <f>IF($R100&lt;=0, " ",IF($R100&lt;=0.25, "A",IF($R100&lt;10, "B",IF($R100&lt;100, "C", IF($R100&lt;300, "D",IF($R100&lt;1000, "E",IF($R100&lt;5000,"F",IF($R100&gt;=5000, "G"))))))))</f>
        <v xml:space="preserve"> </v>
      </c>
      <c r="T100" s="27"/>
      <c r="U100" s="27"/>
      <c r="V100" s="27"/>
      <c r="W100" s="27"/>
      <c r="X100" s="27"/>
      <c r="Y100" s="27"/>
      <c r="Z100" s="610"/>
      <c r="AA100" s="6"/>
      <c r="AK100" s="557" t="str">
        <f t="shared" si="14"/>
        <v xml:space="preserve"> </v>
      </c>
      <c r="AL100" s="321" t="str">
        <f t="shared" si="15"/>
        <v xml:space="preserve"> </v>
      </c>
      <c r="AM100" s="321" t="str">
        <f t="shared" si="16"/>
        <v xml:space="preserve"> </v>
      </c>
      <c r="AN100" s="321" t="str">
        <f t="shared" si="17"/>
        <v xml:space="preserve"> </v>
      </c>
      <c r="AO100" s="558" t="str">
        <f t="shared" si="18"/>
        <v xml:space="preserve"> </v>
      </c>
      <c r="AR100" s="6" t="str">
        <v/>
      </c>
    </row>
    <row r="101" spans="1:44" ht="13" x14ac:dyDescent="0.25">
      <c r="A101" s="607"/>
      <c r="B101" s="27"/>
      <c r="C101" s="27"/>
      <c r="D101" s="27"/>
      <c r="E101" s="27"/>
      <c r="F101" s="27"/>
      <c r="G101" s="27"/>
      <c r="H101" s="608"/>
      <c r="I101" s="63"/>
      <c r="J101" s="608"/>
      <c r="K101" s="63"/>
      <c r="L101" s="608"/>
      <c r="M101" s="63"/>
      <c r="N101" s="608"/>
      <c r="O101" s="63"/>
      <c r="P101" s="608"/>
      <c r="Q101" s="63"/>
      <c r="R101" s="63">
        <f>Table4[[#This Row],[Initial Acres]]+Table4[[#This Row],[Day 2 
Acres]]+Table4[[#This Row],[Day 3
Acres]]+Table4[[#This Row],[Day 4
Acres]]+Table4[[#This Row],[Day 5 
Acres]]</f>
        <v>0</v>
      </c>
      <c r="S101" s="27" t="str">
        <f>IF($R101&lt;=0, " ",IF($R101&lt;=0.25, "A",IF($R101&lt;10, "B",IF($R101&lt;100, "C", IF($R101&lt;300, "D",IF($R101&lt;1000, "E",IF($R101&lt;5000,"F",IF($R101&gt;=5000, "G"))))))))</f>
        <v xml:space="preserve"> </v>
      </c>
      <c r="T101" s="27"/>
      <c r="U101" s="27"/>
      <c r="V101" s="27"/>
      <c r="W101" s="27"/>
      <c r="X101" s="27"/>
      <c r="Y101" s="27"/>
      <c r="Z101" s="610"/>
      <c r="AA101" s="6"/>
      <c r="AK101" s="557" t="str">
        <f t="shared" si="14"/>
        <v xml:space="preserve"> </v>
      </c>
      <c r="AL101" s="321" t="str">
        <f t="shared" si="15"/>
        <v xml:space="preserve"> </v>
      </c>
      <c r="AM101" s="321" t="str">
        <f t="shared" si="16"/>
        <v xml:space="preserve"> </v>
      </c>
      <c r="AN101" s="321" t="str">
        <f t="shared" si="17"/>
        <v xml:space="preserve"> </v>
      </c>
      <c r="AO101" s="558" t="str">
        <f t="shared" si="18"/>
        <v xml:space="preserve"> </v>
      </c>
      <c r="AR101" s="6" t="str">
        <v/>
      </c>
    </row>
    <row r="102" spans="1:44" ht="13" x14ac:dyDescent="0.25">
      <c r="A102" s="607"/>
      <c r="B102" s="27"/>
      <c r="C102" s="27"/>
      <c r="D102" s="27"/>
      <c r="E102" s="27"/>
      <c r="F102" s="27"/>
      <c r="G102" s="27"/>
      <c r="H102" s="608"/>
      <c r="I102" s="63"/>
      <c r="J102" s="608"/>
      <c r="K102" s="63"/>
      <c r="L102" s="608"/>
      <c r="M102" s="63"/>
      <c r="N102" s="608"/>
      <c r="O102" s="63"/>
      <c r="P102" s="608"/>
      <c r="Q102" s="63"/>
      <c r="R102" s="63">
        <f>Table4[[#This Row],[Initial Acres]]+Table4[[#This Row],[Day 2 
Acres]]+Table4[[#This Row],[Day 3
Acres]]+Table4[[#This Row],[Day 4
Acres]]+Table4[[#This Row],[Day 5 
Acres]]</f>
        <v>0</v>
      </c>
      <c r="S102" s="27" t="str">
        <f>IF($R102&lt;=0, " ",IF($R102&lt;=0.25, "A",IF($R102&lt;10, "B",IF($R102&lt;100, "C", IF($R102&lt;300, "D",IF($R102&lt;1000, "E",IF($R102&lt;5000,"F",IF($R102&gt;=5000, "G"))))))))</f>
        <v xml:space="preserve"> </v>
      </c>
      <c r="T102" s="27"/>
      <c r="U102" s="27"/>
      <c r="V102" s="27"/>
      <c r="W102" s="27"/>
      <c r="X102" s="27"/>
      <c r="Y102" s="27"/>
      <c r="Z102" s="610"/>
      <c r="AA102" s="6"/>
      <c r="AK102" s="557" t="str">
        <f t="shared" si="14"/>
        <v xml:space="preserve"> </v>
      </c>
      <c r="AL102" s="321" t="str">
        <f t="shared" si="15"/>
        <v xml:space="preserve"> </v>
      </c>
      <c r="AM102" s="321" t="str">
        <f t="shared" si="16"/>
        <v xml:space="preserve"> </v>
      </c>
      <c r="AN102" s="321" t="str">
        <f t="shared" si="17"/>
        <v xml:space="preserve"> </v>
      </c>
      <c r="AO102" s="558" t="str">
        <f t="shared" si="18"/>
        <v xml:space="preserve"> </v>
      </c>
      <c r="AR102" s="6" t="str">
        <v/>
      </c>
    </row>
    <row r="103" spans="1:44" ht="13" x14ac:dyDescent="0.25">
      <c r="A103" s="607"/>
      <c r="B103" s="27"/>
      <c r="C103" s="27"/>
      <c r="D103" s="27"/>
      <c r="E103" s="27"/>
      <c r="F103" s="27"/>
      <c r="G103" s="27"/>
      <c r="H103" s="608"/>
      <c r="I103" s="63"/>
      <c r="J103" s="608"/>
      <c r="K103" s="63"/>
      <c r="L103" s="608"/>
      <c r="M103" s="63"/>
      <c r="N103" s="608"/>
      <c r="O103" s="63"/>
      <c r="P103" s="608"/>
      <c r="Q103" s="63"/>
      <c r="R103" s="63">
        <f>Table4[[#This Row],[Initial Acres]]+Table4[[#This Row],[Day 2 
Acres]]+Table4[[#This Row],[Day 3
Acres]]+Table4[[#This Row],[Day 4
Acres]]+Table4[[#This Row],[Day 5 
Acres]]</f>
        <v>0</v>
      </c>
      <c r="S103" s="27" t="str">
        <f>IF($R103&lt;=0, " ",IF($R103&lt;=0.25, "A",IF($R103&lt;10, "B",IF($R103&lt;100, "C", IF($R103&lt;300, "D",IF($R103&lt;1000, "E",IF($R103&lt;5000,"F",IF($R103&gt;=5000, "G"))))))))</f>
        <v xml:space="preserve"> </v>
      </c>
      <c r="T103" s="27"/>
      <c r="U103" s="27"/>
      <c r="V103" s="27"/>
      <c r="W103" s="27"/>
      <c r="X103" s="27"/>
      <c r="Y103" s="27"/>
      <c r="Z103" s="610"/>
      <c r="AA103" s="6"/>
      <c r="AK103" s="557" t="str">
        <f t="shared" si="14"/>
        <v xml:space="preserve"> </v>
      </c>
      <c r="AL103" s="321" t="str">
        <f t="shared" si="15"/>
        <v xml:space="preserve"> </v>
      </c>
      <c r="AM103" s="321" t="str">
        <f t="shared" si="16"/>
        <v xml:space="preserve"> </v>
      </c>
      <c r="AN103" s="321" t="str">
        <f t="shared" si="17"/>
        <v xml:space="preserve"> </v>
      </c>
      <c r="AO103" s="558" t="str">
        <f t="shared" si="18"/>
        <v xml:space="preserve"> </v>
      </c>
      <c r="AR103" s="6" t="str">
        <v/>
      </c>
    </row>
    <row r="104" spans="1:44" ht="13" x14ac:dyDescent="0.25">
      <c r="A104" s="607"/>
      <c r="B104" s="27"/>
      <c r="C104" s="27"/>
      <c r="D104" s="27"/>
      <c r="E104" s="27"/>
      <c r="F104" s="27"/>
      <c r="G104" s="27"/>
      <c r="H104" s="608"/>
      <c r="I104" s="63"/>
      <c r="J104" s="608"/>
      <c r="K104" s="63"/>
      <c r="L104" s="608"/>
      <c r="M104" s="63"/>
      <c r="N104" s="608"/>
      <c r="O104" s="63"/>
      <c r="P104" s="608"/>
      <c r="Q104" s="63"/>
      <c r="R104" s="63">
        <f>Table4[[#This Row],[Initial Acres]]+Table4[[#This Row],[Day 2 
Acres]]+Table4[[#This Row],[Day 3
Acres]]+Table4[[#This Row],[Day 4
Acres]]+Table4[[#This Row],[Day 5 
Acres]]</f>
        <v>0</v>
      </c>
      <c r="S104" s="27" t="str">
        <f>IF($R104&lt;=0, " ",IF($R104&lt;=0.25, "A",IF($R104&lt;10, "B",IF($R104&lt;100, "C", IF($R104&lt;300, "D",IF($R104&lt;1000, "E",IF($R104&lt;5000,"F",IF($R104&gt;=5000, "G"))))))))</f>
        <v xml:space="preserve"> </v>
      </c>
      <c r="T104" s="27"/>
      <c r="U104" s="27"/>
      <c r="V104" s="27"/>
      <c r="W104" s="27"/>
      <c r="X104" s="27"/>
      <c r="Y104" s="27"/>
      <c r="Z104" s="610"/>
      <c r="AA104" s="6"/>
      <c r="AK104" s="557" t="str">
        <f t="shared" si="14"/>
        <v xml:space="preserve"> </v>
      </c>
      <c r="AL104" s="321" t="str">
        <f t="shared" si="15"/>
        <v xml:space="preserve"> </v>
      </c>
      <c r="AM104" s="321" t="str">
        <f t="shared" si="16"/>
        <v xml:space="preserve"> </v>
      </c>
      <c r="AN104" s="321" t="str">
        <f t="shared" si="17"/>
        <v xml:space="preserve"> </v>
      </c>
      <c r="AO104" s="558" t="str">
        <f t="shared" si="18"/>
        <v xml:space="preserve"> </v>
      </c>
      <c r="AR104" s="6" t="str">
        <v/>
      </c>
    </row>
    <row r="105" spans="1:44" ht="13" x14ac:dyDescent="0.25">
      <c r="A105" s="607"/>
      <c r="B105" s="27"/>
      <c r="C105" s="27"/>
      <c r="D105" s="27"/>
      <c r="E105" s="27"/>
      <c r="F105" s="27"/>
      <c r="G105" s="27"/>
      <c r="H105" s="608"/>
      <c r="I105" s="63"/>
      <c r="J105" s="608"/>
      <c r="K105" s="63"/>
      <c r="L105" s="608"/>
      <c r="M105" s="63"/>
      <c r="N105" s="608"/>
      <c r="O105" s="63"/>
      <c r="P105" s="608"/>
      <c r="Q105" s="63"/>
      <c r="R105" s="63">
        <f>Table4[[#This Row],[Initial Acres]]+Table4[[#This Row],[Day 2 
Acres]]+Table4[[#This Row],[Day 3
Acres]]+Table4[[#This Row],[Day 4
Acres]]+Table4[[#This Row],[Day 5 
Acres]]</f>
        <v>0</v>
      </c>
      <c r="S105" s="27" t="str">
        <f>IF($R105&lt;=0, " ",IF($R105&lt;=0.25, "A",IF($R105&lt;10, "B",IF($R105&lt;100, "C", IF($R105&lt;300, "D",IF($R105&lt;1000, "E",IF($R105&lt;5000,"F",IF($R105&gt;=5000, "G"))))))))</f>
        <v xml:space="preserve"> </v>
      </c>
      <c r="T105" s="27"/>
      <c r="U105" s="27"/>
      <c r="V105" s="27"/>
      <c r="W105" s="27"/>
      <c r="X105" s="27"/>
      <c r="Y105" s="27"/>
      <c r="Z105" s="610"/>
      <c r="AA105" s="6"/>
      <c r="AK105" s="557" t="str">
        <f t="shared" si="14"/>
        <v xml:space="preserve"> </v>
      </c>
      <c r="AL105" s="321" t="str">
        <f t="shared" si="15"/>
        <v xml:space="preserve"> </v>
      </c>
      <c r="AM105" s="321" t="str">
        <f t="shared" si="16"/>
        <v xml:space="preserve"> </v>
      </c>
      <c r="AN105" s="321" t="str">
        <f t="shared" si="17"/>
        <v xml:space="preserve"> </v>
      </c>
      <c r="AO105" s="558" t="str">
        <f t="shared" si="18"/>
        <v xml:space="preserve"> </v>
      </c>
      <c r="AR105" s="6" t="str">
        <v/>
      </c>
    </row>
    <row r="106" spans="1:44" ht="13" x14ac:dyDescent="0.25">
      <c r="A106" s="607"/>
      <c r="B106" s="27"/>
      <c r="C106" s="27"/>
      <c r="D106" s="27"/>
      <c r="E106" s="27"/>
      <c r="F106" s="27"/>
      <c r="G106" s="27"/>
      <c r="H106" s="608"/>
      <c r="I106" s="63"/>
      <c r="J106" s="608"/>
      <c r="K106" s="63"/>
      <c r="L106" s="608"/>
      <c r="M106" s="63"/>
      <c r="N106" s="608"/>
      <c r="O106" s="63"/>
      <c r="P106" s="608"/>
      <c r="Q106" s="63"/>
      <c r="R106" s="63">
        <f>Table4[[#This Row],[Initial Acres]]+Table4[[#This Row],[Day 2 
Acres]]+Table4[[#This Row],[Day 3
Acres]]+Table4[[#This Row],[Day 4
Acres]]+Table4[[#This Row],[Day 5 
Acres]]</f>
        <v>0</v>
      </c>
      <c r="S106" s="27" t="str">
        <f>IF($R106&lt;=0, " ",IF($R106&lt;=0.25, "A",IF($R106&lt;10, "B",IF($R106&lt;100, "C", IF($R106&lt;300, "D",IF($R106&lt;1000, "E",IF($R106&lt;5000,"F",IF($R106&gt;=5000, "G"))))))))</f>
        <v xml:space="preserve"> </v>
      </c>
      <c r="T106" s="27"/>
      <c r="U106" s="27"/>
      <c r="V106" s="27"/>
      <c r="W106" s="27"/>
      <c r="X106" s="27"/>
      <c r="Y106" s="27"/>
      <c r="Z106" s="610"/>
      <c r="AA106" s="6"/>
      <c r="AK106" s="557" t="str">
        <f t="shared" si="14"/>
        <v xml:space="preserve"> </v>
      </c>
      <c r="AL106" s="321" t="str">
        <f t="shared" si="15"/>
        <v xml:space="preserve"> </v>
      </c>
      <c r="AM106" s="321" t="str">
        <f t="shared" si="16"/>
        <v xml:space="preserve"> </v>
      </c>
      <c r="AN106" s="321" t="str">
        <f t="shared" si="17"/>
        <v xml:space="preserve"> </v>
      </c>
      <c r="AO106" s="558" t="str">
        <f t="shared" si="18"/>
        <v xml:space="preserve"> </v>
      </c>
      <c r="AR106" s="6" t="str">
        <v/>
      </c>
    </row>
    <row r="107" spans="1:44" ht="13" x14ac:dyDescent="0.25">
      <c r="A107" s="607"/>
      <c r="B107" s="27"/>
      <c r="C107" s="27"/>
      <c r="D107" s="27"/>
      <c r="E107" s="27"/>
      <c r="F107" s="27"/>
      <c r="G107" s="27"/>
      <c r="H107" s="608"/>
      <c r="I107" s="63"/>
      <c r="J107" s="608"/>
      <c r="K107" s="63"/>
      <c r="L107" s="608"/>
      <c r="M107" s="63"/>
      <c r="N107" s="608"/>
      <c r="O107" s="63"/>
      <c r="P107" s="608"/>
      <c r="Q107" s="63"/>
      <c r="R107" s="63">
        <f>Table4[[#This Row],[Initial Acres]]+Table4[[#This Row],[Day 2 
Acres]]+Table4[[#This Row],[Day 3
Acres]]+Table4[[#This Row],[Day 4
Acres]]+Table4[[#This Row],[Day 5 
Acres]]</f>
        <v>0</v>
      </c>
      <c r="S107" s="27" t="str">
        <f>IF($R107&lt;=0, " ",IF($R107&lt;=0.25, "A",IF($R107&lt;10, "B",IF($R107&lt;100, "C", IF($R107&lt;300, "D",IF($R107&lt;1000, "E",IF($R107&lt;5000,"F",IF($R107&gt;=5000, "G"))))))))</f>
        <v xml:space="preserve"> </v>
      </c>
      <c r="T107" s="27"/>
      <c r="U107" s="27"/>
      <c r="V107" s="27"/>
      <c r="W107" s="27"/>
      <c r="X107" s="27"/>
      <c r="Y107" s="27"/>
      <c r="Z107" s="610"/>
      <c r="AA107" s="6"/>
      <c r="AK107" s="557" t="str">
        <f t="shared" si="14"/>
        <v xml:space="preserve"> </v>
      </c>
      <c r="AL107" s="321" t="str">
        <f t="shared" si="15"/>
        <v xml:space="preserve"> </v>
      </c>
      <c r="AM107" s="321" t="str">
        <f t="shared" si="16"/>
        <v xml:space="preserve"> </v>
      </c>
      <c r="AN107" s="321" t="str">
        <f t="shared" si="17"/>
        <v xml:space="preserve"> </v>
      </c>
      <c r="AO107" s="558" t="str">
        <f t="shared" si="18"/>
        <v xml:space="preserve"> </v>
      </c>
      <c r="AR107" s="6" t="str">
        <v/>
      </c>
    </row>
    <row r="108" spans="1:44" ht="13" x14ac:dyDescent="0.25">
      <c r="A108" s="607"/>
      <c r="B108" s="27"/>
      <c r="C108" s="27"/>
      <c r="D108" s="27"/>
      <c r="E108" s="27"/>
      <c r="F108" s="27"/>
      <c r="G108" s="27"/>
      <c r="H108" s="608"/>
      <c r="I108" s="63"/>
      <c r="J108" s="608"/>
      <c r="K108" s="63"/>
      <c r="L108" s="608"/>
      <c r="M108" s="63"/>
      <c r="N108" s="608"/>
      <c r="O108" s="63"/>
      <c r="P108" s="608"/>
      <c r="Q108" s="63"/>
      <c r="R108" s="63">
        <f>Table4[[#This Row],[Initial Acres]]+Table4[[#This Row],[Day 2 
Acres]]+Table4[[#This Row],[Day 3
Acres]]+Table4[[#This Row],[Day 4
Acres]]+Table4[[#This Row],[Day 5 
Acres]]</f>
        <v>0</v>
      </c>
      <c r="S108" s="27" t="str">
        <f>IF($R108&lt;=0, " ",IF($R108&lt;=0.25, "A",IF($R108&lt;10, "B",IF($R108&lt;100, "C", IF($R108&lt;300, "D",IF($R108&lt;1000, "E",IF($R108&lt;5000,"F",IF($R108&gt;=5000, "G"))))))))</f>
        <v xml:space="preserve"> </v>
      </c>
      <c r="T108" s="27"/>
      <c r="U108" s="27"/>
      <c r="V108" s="27"/>
      <c r="W108" s="27"/>
      <c r="X108" s="27"/>
      <c r="Y108" s="27"/>
      <c r="Z108" s="610"/>
      <c r="AA108" s="6"/>
      <c r="AK108" s="557" t="str">
        <f t="shared" si="14"/>
        <v xml:space="preserve"> </v>
      </c>
      <c r="AL108" s="321" t="str">
        <f t="shared" si="15"/>
        <v xml:space="preserve"> </v>
      </c>
      <c r="AM108" s="321" t="str">
        <f t="shared" si="16"/>
        <v xml:space="preserve"> </v>
      </c>
      <c r="AN108" s="321" t="str">
        <f t="shared" si="17"/>
        <v xml:space="preserve"> </v>
      </c>
      <c r="AO108" s="558" t="str">
        <f t="shared" si="18"/>
        <v xml:space="preserve"> </v>
      </c>
      <c r="AR108" s="6" t="str">
        <v/>
      </c>
    </row>
    <row r="109" spans="1:44" ht="13" x14ac:dyDescent="0.25">
      <c r="A109" s="607"/>
      <c r="B109" s="27"/>
      <c r="C109" s="27"/>
      <c r="D109" s="27"/>
      <c r="E109" s="27"/>
      <c r="F109" s="27"/>
      <c r="G109" s="27"/>
      <c r="H109" s="608"/>
      <c r="I109" s="63"/>
      <c r="J109" s="608"/>
      <c r="K109" s="63"/>
      <c r="L109" s="608"/>
      <c r="M109" s="63"/>
      <c r="N109" s="608"/>
      <c r="O109" s="63"/>
      <c r="P109" s="608"/>
      <c r="Q109" s="63"/>
      <c r="R109" s="63">
        <f>Table4[[#This Row],[Initial Acres]]+Table4[[#This Row],[Day 2 
Acres]]+Table4[[#This Row],[Day 3
Acres]]+Table4[[#This Row],[Day 4
Acres]]+Table4[[#This Row],[Day 5 
Acres]]</f>
        <v>0</v>
      </c>
      <c r="S109" s="27" t="str">
        <f>IF($R109&lt;=0, " ",IF($R109&lt;=0.25, "A",IF($R109&lt;10, "B",IF($R109&lt;100, "C", IF($R109&lt;300, "D",IF($R109&lt;1000, "E",IF($R109&lt;5000,"F",IF($R109&gt;=5000, "G"))))))))</f>
        <v xml:space="preserve"> </v>
      </c>
      <c r="T109" s="27"/>
      <c r="U109" s="27"/>
      <c r="V109" s="27"/>
      <c r="W109" s="27"/>
      <c r="X109" s="27"/>
      <c r="Y109" s="27"/>
      <c r="Z109" s="610"/>
      <c r="AA109" s="6"/>
      <c r="AK109" s="557" t="str">
        <f t="shared" si="14"/>
        <v xml:space="preserve"> </v>
      </c>
      <c r="AL109" s="321" t="str">
        <f t="shared" si="15"/>
        <v xml:space="preserve"> </v>
      </c>
      <c r="AM109" s="321" t="str">
        <f t="shared" si="16"/>
        <v xml:space="preserve"> </v>
      </c>
      <c r="AN109" s="321" t="str">
        <f t="shared" si="17"/>
        <v xml:space="preserve"> </v>
      </c>
      <c r="AO109" s="558" t="str">
        <f t="shared" si="18"/>
        <v xml:space="preserve"> </v>
      </c>
      <c r="AR109" s="6" t="str">
        <v/>
      </c>
    </row>
    <row r="110" spans="1:44" ht="13" x14ac:dyDescent="0.25">
      <c r="A110" s="607"/>
      <c r="B110" s="27"/>
      <c r="C110" s="27"/>
      <c r="D110" s="27"/>
      <c r="E110" s="27"/>
      <c r="F110" s="27"/>
      <c r="G110" s="27"/>
      <c r="H110" s="608"/>
      <c r="I110" s="63"/>
      <c r="J110" s="608"/>
      <c r="K110" s="63"/>
      <c r="L110" s="608"/>
      <c r="M110" s="63"/>
      <c r="N110" s="608"/>
      <c r="O110" s="63"/>
      <c r="P110" s="608"/>
      <c r="Q110" s="63"/>
      <c r="R110" s="63">
        <f>Table4[[#This Row],[Initial Acres]]+Table4[[#This Row],[Day 2 
Acres]]+Table4[[#This Row],[Day 3
Acres]]+Table4[[#This Row],[Day 4
Acres]]+Table4[[#This Row],[Day 5 
Acres]]</f>
        <v>0</v>
      </c>
      <c r="S110" s="27" t="str">
        <f>IF($R110&lt;=0, " ",IF($R110&lt;=0.25, "A",IF($R110&lt;10, "B",IF($R110&lt;100, "C", IF($R110&lt;300, "D",IF($R110&lt;1000, "E",IF($R110&lt;5000,"F",IF($R110&gt;=5000, "G"))))))))</f>
        <v xml:space="preserve"> </v>
      </c>
      <c r="T110" s="27"/>
      <c r="U110" s="27"/>
      <c r="V110" s="27"/>
      <c r="W110" s="27"/>
      <c r="X110" s="27"/>
      <c r="Y110" s="27"/>
      <c r="Z110" s="610"/>
      <c r="AA110" s="6"/>
      <c r="AK110" s="557" t="str">
        <f t="shared" si="14"/>
        <v xml:space="preserve"> </v>
      </c>
      <c r="AL110" s="321" t="str">
        <f t="shared" si="15"/>
        <v xml:space="preserve"> </v>
      </c>
      <c r="AM110" s="321" t="str">
        <f t="shared" si="16"/>
        <v xml:space="preserve"> </v>
      </c>
      <c r="AN110" s="321" t="str">
        <f t="shared" si="17"/>
        <v xml:space="preserve"> </v>
      </c>
      <c r="AO110" s="558" t="str">
        <f t="shared" si="18"/>
        <v xml:space="preserve"> </v>
      </c>
      <c r="AR110" s="6" t="str">
        <v/>
      </c>
    </row>
    <row r="111" spans="1:44" ht="13" x14ac:dyDescent="0.25">
      <c r="A111" s="607"/>
      <c r="B111" s="27"/>
      <c r="C111" s="27"/>
      <c r="D111" s="27"/>
      <c r="E111" s="27"/>
      <c r="F111" s="27"/>
      <c r="G111" s="27"/>
      <c r="H111" s="608"/>
      <c r="I111" s="63"/>
      <c r="J111" s="608"/>
      <c r="K111" s="63"/>
      <c r="L111" s="608"/>
      <c r="M111" s="63"/>
      <c r="N111" s="608"/>
      <c r="O111" s="63"/>
      <c r="P111" s="608"/>
      <c r="Q111" s="63"/>
      <c r="R111" s="63">
        <f>Table4[[#This Row],[Initial Acres]]+Table4[[#This Row],[Day 2 
Acres]]+Table4[[#This Row],[Day 3
Acres]]+Table4[[#This Row],[Day 4
Acres]]+Table4[[#This Row],[Day 5 
Acres]]</f>
        <v>0</v>
      </c>
      <c r="S111" s="27" t="str">
        <f>IF($R111&lt;=0, " ",IF($R111&lt;=0.25, "A",IF($R111&lt;10, "B",IF($R111&lt;100, "C", IF($R111&lt;300, "D",IF($R111&lt;1000, "E",IF($R111&lt;5000,"F",IF($R111&gt;=5000, "G"))))))))</f>
        <v xml:space="preserve"> </v>
      </c>
      <c r="T111" s="27"/>
      <c r="U111" s="27"/>
      <c r="V111" s="27"/>
      <c r="W111" s="27"/>
      <c r="X111" s="27"/>
      <c r="Y111" s="27"/>
      <c r="Z111" s="610"/>
      <c r="AA111" s="6"/>
      <c r="AK111" s="557" t="str">
        <f t="shared" si="14"/>
        <v xml:space="preserve"> </v>
      </c>
      <c r="AL111" s="321" t="str">
        <f t="shared" si="15"/>
        <v xml:space="preserve"> </v>
      </c>
      <c r="AM111" s="321" t="str">
        <f t="shared" si="16"/>
        <v xml:space="preserve"> </v>
      </c>
      <c r="AN111" s="321" t="str">
        <f t="shared" si="17"/>
        <v xml:space="preserve"> </v>
      </c>
      <c r="AO111" s="558" t="str">
        <f t="shared" si="18"/>
        <v xml:space="preserve"> </v>
      </c>
      <c r="AR111" s="6" t="str">
        <v/>
      </c>
    </row>
    <row r="112" spans="1:44" ht="13" x14ac:dyDescent="0.25">
      <c r="A112" s="607"/>
      <c r="B112" s="27"/>
      <c r="C112" s="27"/>
      <c r="D112" s="27"/>
      <c r="E112" s="27"/>
      <c r="F112" s="27"/>
      <c r="G112" s="27"/>
      <c r="H112" s="608"/>
      <c r="I112" s="63"/>
      <c r="J112" s="608"/>
      <c r="K112" s="63"/>
      <c r="L112" s="608"/>
      <c r="M112" s="63"/>
      <c r="N112" s="608"/>
      <c r="O112" s="63"/>
      <c r="P112" s="608"/>
      <c r="Q112" s="63"/>
      <c r="R112" s="63">
        <f>Table4[[#This Row],[Initial Acres]]+Table4[[#This Row],[Day 2 
Acres]]+Table4[[#This Row],[Day 3
Acres]]+Table4[[#This Row],[Day 4
Acres]]+Table4[[#This Row],[Day 5 
Acres]]</f>
        <v>0</v>
      </c>
      <c r="S112" s="27" t="str">
        <f>IF($R112&lt;=0, " ",IF($R112&lt;=0.25, "A",IF($R112&lt;10, "B",IF($R112&lt;100, "C", IF($R112&lt;300, "D",IF($R112&lt;1000, "E",IF($R112&lt;5000,"F",IF($R112&gt;=5000, "G"))))))))</f>
        <v xml:space="preserve"> </v>
      </c>
      <c r="T112" s="27"/>
      <c r="U112" s="27"/>
      <c r="V112" s="27"/>
      <c r="W112" s="27"/>
      <c r="X112" s="27"/>
      <c r="Y112" s="27"/>
      <c r="Z112" s="610"/>
      <c r="AA112" s="6"/>
      <c r="AK112" s="557" t="str">
        <f t="shared" si="14"/>
        <v xml:space="preserve"> </v>
      </c>
      <c r="AL112" s="321" t="str">
        <f t="shared" si="15"/>
        <v xml:space="preserve"> </v>
      </c>
      <c r="AM112" s="321" t="str">
        <f t="shared" si="16"/>
        <v xml:space="preserve"> </v>
      </c>
      <c r="AN112" s="321" t="str">
        <f t="shared" si="17"/>
        <v xml:space="preserve"> </v>
      </c>
      <c r="AO112" s="558" t="str">
        <f t="shared" si="18"/>
        <v xml:space="preserve"> </v>
      </c>
      <c r="AR112" s="6" t="str">
        <v/>
      </c>
    </row>
    <row r="113" spans="1:44" ht="13" x14ac:dyDescent="0.25">
      <c r="A113" s="607"/>
      <c r="B113" s="27"/>
      <c r="C113" s="27"/>
      <c r="D113" s="27"/>
      <c r="E113" s="27"/>
      <c r="F113" s="27"/>
      <c r="G113" s="27"/>
      <c r="H113" s="608"/>
      <c r="I113" s="63"/>
      <c r="J113" s="608"/>
      <c r="K113" s="63"/>
      <c r="L113" s="608"/>
      <c r="M113" s="63"/>
      <c r="N113" s="608"/>
      <c r="O113" s="63"/>
      <c r="P113" s="608"/>
      <c r="Q113" s="63"/>
      <c r="R113" s="63">
        <f>Table4[[#This Row],[Initial Acres]]+Table4[[#This Row],[Day 2 
Acres]]+Table4[[#This Row],[Day 3
Acres]]+Table4[[#This Row],[Day 4
Acres]]+Table4[[#This Row],[Day 5 
Acres]]</f>
        <v>0</v>
      </c>
      <c r="S113" s="27" t="str">
        <f>IF($R113&lt;=0, " ",IF($R113&lt;=0.25, "A",IF($R113&lt;10, "B",IF($R113&lt;100, "C", IF($R113&lt;300, "D",IF($R113&lt;1000, "E",IF($R113&lt;5000,"F",IF($R113&gt;=5000, "G"))))))))</f>
        <v xml:space="preserve"> </v>
      </c>
      <c r="T113" s="27"/>
      <c r="U113" s="27"/>
      <c r="V113" s="27"/>
      <c r="W113" s="27"/>
      <c r="X113" s="27"/>
      <c r="Y113" s="27"/>
      <c r="Z113" s="610"/>
      <c r="AA113" s="6"/>
      <c r="AK113" s="557" t="str">
        <f t="shared" si="14"/>
        <v xml:space="preserve"> </v>
      </c>
      <c r="AL113" s="321" t="str">
        <f t="shared" si="15"/>
        <v xml:space="preserve"> </v>
      </c>
      <c r="AM113" s="321" t="str">
        <f t="shared" si="16"/>
        <v xml:space="preserve"> </v>
      </c>
      <c r="AN113" s="321" t="str">
        <f t="shared" si="17"/>
        <v xml:space="preserve"> </v>
      </c>
      <c r="AO113" s="558" t="str">
        <f t="shared" si="18"/>
        <v xml:space="preserve"> </v>
      </c>
      <c r="AR113" s="6" t="str">
        <v/>
      </c>
    </row>
    <row r="114" spans="1:44" ht="13" x14ac:dyDescent="0.25">
      <c r="A114" s="607"/>
      <c r="B114" s="27"/>
      <c r="C114" s="27"/>
      <c r="D114" s="27"/>
      <c r="E114" s="27"/>
      <c r="F114" s="27"/>
      <c r="G114" s="27"/>
      <c r="H114" s="608"/>
      <c r="I114" s="63"/>
      <c r="J114" s="608"/>
      <c r="K114" s="63"/>
      <c r="L114" s="608"/>
      <c r="M114" s="63"/>
      <c r="N114" s="608"/>
      <c r="O114" s="63"/>
      <c r="P114" s="608"/>
      <c r="Q114" s="63"/>
      <c r="R114" s="63">
        <f>Table4[[#This Row],[Initial Acres]]+Table4[[#This Row],[Day 2 
Acres]]+Table4[[#This Row],[Day 3
Acres]]+Table4[[#This Row],[Day 4
Acres]]+Table4[[#This Row],[Day 5 
Acres]]</f>
        <v>0</v>
      </c>
      <c r="S114" s="27" t="str">
        <f>IF($R114&lt;=0, " ",IF($R114&lt;=0.25, "A",IF($R114&lt;10, "B",IF($R114&lt;100, "C", IF($R114&lt;300, "D",IF($R114&lt;1000, "E",IF($R114&lt;5000,"F",IF($R114&gt;=5000, "G"))))))))</f>
        <v xml:space="preserve"> </v>
      </c>
      <c r="T114" s="27"/>
      <c r="U114" s="27"/>
      <c r="V114" s="27"/>
      <c r="W114" s="27"/>
      <c r="X114" s="27"/>
      <c r="Y114" s="27"/>
      <c r="Z114" s="610"/>
      <c r="AA114" s="6"/>
      <c r="AK114" s="557" t="str">
        <f t="shared" si="14"/>
        <v xml:space="preserve"> </v>
      </c>
      <c r="AL114" s="321" t="str">
        <f t="shared" si="15"/>
        <v xml:space="preserve"> </v>
      </c>
      <c r="AM114" s="321" t="str">
        <f t="shared" si="16"/>
        <v xml:space="preserve"> </v>
      </c>
      <c r="AN114" s="321" t="str">
        <f t="shared" si="17"/>
        <v xml:space="preserve"> </v>
      </c>
      <c r="AO114" s="558" t="str">
        <f t="shared" si="18"/>
        <v xml:space="preserve"> </v>
      </c>
      <c r="AR114" s="6" t="str">
        <v/>
      </c>
    </row>
    <row r="115" spans="1:44" ht="13" x14ac:dyDescent="0.25">
      <c r="A115" s="607"/>
      <c r="B115" s="27"/>
      <c r="C115" s="27"/>
      <c r="D115" s="27"/>
      <c r="E115" s="27"/>
      <c r="F115" s="27"/>
      <c r="G115" s="27"/>
      <c r="H115" s="608"/>
      <c r="I115" s="63"/>
      <c r="J115" s="608"/>
      <c r="K115" s="63"/>
      <c r="L115" s="608"/>
      <c r="M115" s="63"/>
      <c r="N115" s="608"/>
      <c r="O115" s="63"/>
      <c r="P115" s="608"/>
      <c r="Q115" s="63"/>
      <c r="R115" s="63">
        <f>Table4[[#This Row],[Initial Acres]]+Table4[[#This Row],[Day 2 
Acres]]+Table4[[#This Row],[Day 3
Acres]]+Table4[[#This Row],[Day 4
Acres]]+Table4[[#This Row],[Day 5 
Acres]]</f>
        <v>0</v>
      </c>
      <c r="S115" s="27" t="str">
        <f>IF($R115&lt;=0, " ",IF($R115&lt;=0.25, "A",IF($R115&lt;10, "B",IF($R115&lt;100, "C", IF($R115&lt;300, "D",IF($R115&lt;1000, "E",IF($R115&lt;5000,"F",IF($R115&gt;=5000, "G"))))))))</f>
        <v xml:space="preserve"> </v>
      </c>
      <c r="T115" s="27"/>
      <c r="U115" s="27"/>
      <c r="V115" s="27"/>
      <c r="W115" s="27"/>
      <c r="X115" s="27"/>
      <c r="Y115" s="27"/>
      <c r="Z115" s="610"/>
      <c r="AA115" s="6"/>
      <c r="AK115" s="557" t="str">
        <f t="shared" si="14"/>
        <v xml:space="preserve"> </v>
      </c>
      <c r="AL115" s="321" t="str">
        <f t="shared" si="15"/>
        <v xml:space="preserve"> </v>
      </c>
      <c r="AM115" s="321" t="str">
        <f t="shared" si="16"/>
        <v xml:space="preserve"> </v>
      </c>
      <c r="AN115" s="321" t="str">
        <f t="shared" si="17"/>
        <v xml:space="preserve"> </v>
      </c>
      <c r="AO115" s="558" t="str">
        <f t="shared" si="18"/>
        <v xml:space="preserve"> </v>
      </c>
      <c r="AR115" s="6" t="str">
        <v/>
      </c>
    </row>
    <row r="116" spans="1:44" ht="13" x14ac:dyDescent="0.25">
      <c r="A116" s="607"/>
      <c r="B116" s="27"/>
      <c r="C116" s="27"/>
      <c r="D116" s="27"/>
      <c r="E116" s="27"/>
      <c r="F116" s="27"/>
      <c r="G116" s="27"/>
      <c r="H116" s="608"/>
      <c r="I116" s="63"/>
      <c r="J116" s="608"/>
      <c r="K116" s="63"/>
      <c r="L116" s="608"/>
      <c r="M116" s="63"/>
      <c r="N116" s="608"/>
      <c r="O116" s="63"/>
      <c r="P116" s="608"/>
      <c r="Q116" s="63"/>
      <c r="R116" s="63">
        <f>Table4[[#This Row],[Initial Acres]]+Table4[[#This Row],[Day 2 
Acres]]+Table4[[#This Row],[Day 3
Acres]]+Table4[[#This Row],[Day 4
Acres]]+Table4[[#This Row],[Day 5 
Acres]]</f>
        <v>0</v>
      </c>
      <c r="S116" s="27" t="str">
        <f>IF($R116&lt;=0, " ",IF($R116&lt;=0.25, "A",IF($R116&lt;10, "B",IF($R116&lt;100, "C", IF($R116&lt;300, "D",IF($R116&lt;1000, "E",IF($R116&lt;5000,"F",IF($R116&gt;=5000, "G"))))))))</f>
        <v xml:space="preserve"> </v>
      </c>
      <c r="T116" s="27"/>
      <c r="U116" s="27"/>
      <c r="V116" s="27"/>
      <c r="W116" s="27"/>
      <c r="X116" s="27"/>
      <c r="Y116" s="27"/>
      <c r="Z116" s="610"/>
      <c r="AA116" s="6"/>
      <c r="AK116" s="557" t="str">
        <f t="shared" si="14"/>
        <v xml:space="preserve"> </v>
      </c>
      <c r="AL116" s="321" t="str">
        <f t="shared" si="15"/>
        <v xml:space="preserve"> </v>
      </c>
      <c r="AM116" s="321" t="str">
        <f t="shared" si="16"/>
        <v xml:space="preserve"> </v>
      </c>
      <c r="AN116" s="321" t="str">
        <f t="shared" si="17"/>
        <v xml:space="preserve"> </v>
      </c>
      <c r="AO116" s="558" t="str">
        <f t="shared" si="18"/>
        <v xml:space="preserve"> </v>
      </c>
      <c r="AR116" s="6" t="str">
        <v/>
      </c>
    </row>
    <row r="117" spans="1:44" ht="13" x14ac:dyDescent="0.25">
      <c r="A117" s="607"/>
      <c r="B117" s="27"/>
      <c r="C117" s="27"/>
      <c r="D117" s="27"/>
      <c r="E117" s="27"/>
      <c r="F117" s="27"/>
      <c r="G117" s="27"/>
      <c r="H117" s="608"/>
      <c r="I117" s="63"/>
      <c r="J117" s="608"/>
      <c r="K117" s="63"/>
      <c r="L117" s="608"/>
      <c r="M117" s="63"/>
      <c r="N117" s="608"/>
      <c r="O117" s="63"/>
      <c r="P117" s="608"/>
      <c r="Q117" s="63"/>
      <c r="R117" s="63">
        <f>Table4[[#This Row],[Initial Acres]]+Table4[[#This Row],[Day 2 
Acres]]+Table4[[#This Row],[Day 3
Acres]]+Table4[[#This Row],[Day 4
Acres]]+Table4[[#This Row],[Day 5 
Acres]]</f>
        <v>0</v>
      </c>
      <c r="S117" s="27" t="str">
        <f>IF($R117&lt;=0, " ",IF($R117&lt;=0.25, "A",IF($R117&lt;10, "B",IF($R117&lt;100, "C", IF($R117&lt;300, "D",IF($R117&lt;1000, "E",IF($R117&lt;5000,"F",IF($R117&gt;=5000, "G"))))))))</f>
        <v xml:space="preserve"> </v>
      </c>
      <c r="T117" s="27"/>
      <c r="U117" s="27"/>
      <c r="V117" s="27"/>
      <c r="W117" s="27"/>
      <c r="X117" s="27"/>
      <c r="Y117" s="27"/>
      <c r="Z117" s="610"/>
      <c r="AA117" s="6"/>
      <c r="AK117" s="557" t="str">
        <f t="shared" si="14"/>
        <v xml:space="preserve"> </v>
      </c>
      <c r="AL117" s="321" t="str">
        <f t="shared" si="15"/>
        <v xml:space="preserve"> </v>
      </c>
      <c r="AM117" s="321" t="str">
        <f t="shared" si="16"/>
        <v xml:space="preserve"> </v>
      </c>
      <c r="AN117" s="321" t="str">
        <f t="shared" si="17"/>
        <v xml:space="preserve"> </v>
      </c>
      <c r="AO117" s="558" t="str">
        <f t="shared" si="18"/>
        <v xml:space="preserve"> </v>
      </c>
      <c r="AR117" s="6" t="str">
        <v/>
      </c>
    </row>
    <row r="118" spans="1:44" ht="13" x14ac:dyDescent="0.25">
      <c r="A118" s="607"/>
      <c r="B118" s="27"/>
      <c r="C118" s="27"/>
      <c r="D118" s="27"/>
      <c r="E118" s="27"/>
      <c r="F118" s="27"/>
      <c r="G118" s="27"/>
      <c r="H118" s="608"/>
      <c r="I118" s="63"/>
      <c r="J118" s="608"/>
      <c r="K118" s="63"/>
      <c r="L118" s="608"/>
      <c r="M118" s="63"/>
      <c r="N118" s="608"/>
      <c r="O118" s="63"/>
      <c r="P118" s="608"/>
      <c r="Q118" s="63"/>
      <c r="R118" s="63">
        <f>Table4[[#This Row],[Initial Acres]]+Table4[[#This Row],[Day 2 
Acres]]+Table4[[#This Row],[Day 3
Acres]]+Table4[[#This Row],[Day 4
Acres]]+Table4[[#This Row],[Day 5 
Acres]]</f>
        <v>0</v>
      </c>
      <c r="S118" s="27" t="str">
        <f>IF($R118&lt;=0, " ",IF($R118&lt;=0.25, "A",IF($R118&lt;10, "B",IF($R118&lt;100, "C", IF($R118&lt;300, "D",IF($R118&lt;1000, "E",IF($R118&lt;5000,"F",IF($R118&gt;=5000, "G"))))))))</f>
        <v xml:space="preserve"> </v>
      </c>
      <c r="T118" s="27"/>
      <c r="U118" s="27"/>
      <c r="V118" s="27"/>
      <c r="W118" s="27"/>
      <c r="X118" s="27"/>
      <c r="Y118" s="27"/>
      <c r="Z118" s="610"/>
      <c r="AA118" s="6"/>
      <c r="AK118" s="557" t="str">
        <f t="shared" si="14"/>
        <v xml:space="preserve"> </v>
      </c>
      <c r="AL118" s="321" t="str">
        <f t="shared" si="15"/>
        <v xml:space="preserve"> </v>
      </c>
      <c r="AM118" s="321" t="str">
        <f t="shared" si="16"/>
        <v xml:space="preserve"> </v>
      </c>
      <c r="AN118" s="321" t="str">
        <f t="shared" si="17"/>
        <v xml:space="preserve"> </v>
      </c>
      <c r="AO118" s="558" t="str">
        <f t="shared" si="18"/>
        <v xml:space="preserve"> </v>
      </c>
      <c r="AR118" s="6" t="str">
        <v/>
      </c>
    </row>
    <row r="119" spans="1:44" ht="13" x14ac:dyDescent="0.25">
      <c r="A119" s="607"/>
      <c r="B119" s="27"/>
      <c r="C119" s="27"/>
      <c r="D119" s="27"/>
      <c r="E119" s="27"/>
      <c r="F119" s="27"/>
      <c r="G119" s="27"/>
      <c r="H119" s="608"/>
      <c r="I119" s="63"/>
      <c r="J119" s="608"/>
      <c r="K119" s="63"/>
      <c r="L119" s="608"/>
      <c r="M119" s="63"/>
      <c r="N119" s="608"/>
      <c r="O119" s="63"/>
      <c r="P119" s="608"/>
      <c r="Q119" s="63"/>
      <c r="R119" s="63">
        <f>Table4[[#This Row],[Initial Acres]]+Table4[[#This Row],[Day 2 
Acres]]+Table4[[#This Row],[Day 3
Acres]]+Table4[[#This Row],[Day 4
Acres]]+Table4[[#This Row],[Day 5 
Acres]]</f>
        <v>0</v>
      </c>
      <c r="S119" s="27" t="str">
        <f>IF($R119&lt;=0, " ",IF($R119&lt;=0.25, "A",IF($R119&lt;10, "B",IF($R119&lt;100, "C", IF($R119&lt;300, "D",IF($R119&lt;1000, "E",IF($R119&lt;5000,"F",IF($R119&gt;=5000, "G"))))))))</f>
        <v xml:space="preserve"> </v>
      </c>
      <c r="T119" s="27"/>
      <c r="U119" s="27"/>
      <c r="V119" s="27"/>
      <c r="W119" s="27"/>
      <c r="X119" s="27"/>
      <c r="Y119" s="27"/>
      <c r="Z119" s="610"/>
      <c r="AA119" s="6"/>
      <c r="AK119" s="557" t="str">
        <f t="shared" si="14"/>
        <v xml:space="preserve"> </v>
      </c>
      <c r="AL119" s="321" t="str">
        <f t="shared" si="15"/>
        <v xml:space="preserve"> </v>
      </c>
      <c r="AM119" s="321" t="str">
        <f t="shared" si="16"/>
        <v xml:space="preserve"> </v>
      </c>
      <c r="AN119" s="321" t="str">
        <f t="shared" si="17"/>
        <v xml:space="preserve"> </v>
      </c>
      <c r="AO119" s="558" t="str">
        <f t="shared" si="18"/>
        <v xml:space="preserve"> </v>
      </c>
      <c r="AR119" s="6" t="str">
        <v/>
      </c>
    </row>
    <row r="120" spans="1:44" ht="13" x14ac:dyDescent="0.25">
      <c r="A120" s="607"/>
      <c r="B120" s="27"/>
      <c r="C120" s="27"/>
      <c r="D120" s="27"/>
      <c r="E120" s="27"/>
      <c r="F120" s="27"/>
      <c r="G120" s="27"/>
      <c r="H120" s="608"/>
      <c r="I120" s="63"/>
      <c r="J120" s="608"/>
      <c r="K120" s="63"/>
      <c r="L120" s="608"/>
      <c r="M120" s="63"/>
      <c r="N120" s="608"/>
      <c r="O120" s="63"/>
      <c r="P120" s="608"/>
      <c r="Q120" s="63"/>
      <c r="R120" s="63">
        <f>Table4[[#This Row],[Initial Acres]]+Table4[[#This Row],[Day 2 
Acres]]+Table4[[#This Row],[Day 3
Acres]]+Table4[[#This Row],[Day 4
Acres]]+Table4[[#This Row],[Day 5 
Acres]]</f>
        <v>0</v>
      </c>
      <c r="S120" s="27" t="str">
        <f>IF($R120&lt;=0, " ",IF($R120&lt;=0.25, "A",IF($R120&lt;10, "B",IF($R120&lt;100, "C", IF($R120&lt;300, "D",IF($R120&lt;1000, "E",IF($R120&lt;5000,"F",IF($R120&gt;=5000, "G"))))))))</f>
        <v xml:space="preserve"> </v>
      </c>
      <c r="T120" s="27"/>
      <c r="U120" s="27"/>
      <c r="V120" s="27"/>
      <c r="W120" s="27"/>
      <c r="X120" s="27"/>
      <c r="Y120" s="27"/>
      <c r="Z120" s="610"/>
      <c r="AA120" s="6"/>
      <c r="AK120" s="557" t="str">
        <f t="shared" si="14"/>
        <v xml:space="preserve"> </v>
      </c>
      <c r="AL120" s="321" t="str">
        <f t="shared" si="15"/>
        <v xml:space="preserve"> </v>
      </c>
      <c r="AM120" s="321" t="str">
        <f t="shared" si="16"/>
        <v xml:space="preserve"> </v>
      </c>
      <c r="AN120" s="321" t="str">
        <f t="shared" si="17"/>
        <v xml:space="preserve"> </v>
      </c>
      <c r="AO120" s="558" t="str">
        <f t="shared" si="18"/>
        <v xml:space="preserve"> </v>
      </c>
      <c r="AR120" s="6" t="str">
        <v/>
      </c>
    </row>
    <row r="121" spans="1:44" ht="13" x14ac:dyDescent="0.25">
      <c r="A121" s="607"/>
      <c r="B121" s="27"/>
      <c r="C121" s="27"/>
      <c r="D121" s="27"/>
      <c r="E121" s="27"/>
      <c r="F121" s="27"/>
      <c r="G121" s="27"/>
      <c r="H121" s="608"/>
      <c r="I121" s="63"/>
      <c r="J121" s="608"/>
      <c r="K121" s="63"/>
      <c r="L121" s="608"/>
      <c r="M121" s="63"/>
      <c r="N121" s="608"/>
      <c r="O121" s="63"/>
      <c r="P121" s="608"/>
      <c r="Q121" s="63"/>
      <c r="R121" s="63">
        <f>Table4[[#This Row],[Initial Acres]]+Table4[[#This Row],[Day 2 
Acres]]+Table4[[#This Row],[Day 3
Acres]]+Table4[[#This Row],[Day 4
Acres]]+Table4[[#This Row],[Day 5 
Acres]]</f>
        <v>0</v>
      </c>
      <c r="S121" s="27" t="str">
        <f>IF($R121&lt;=0, " ",IF($R121&lt;=0.25, "A",IF($R121&lt;10, "B",IF($R121&lt;100, "C", IF($R121&lt;300, "D",IF($R121&lt;1000, "E",IF($R121&lt;5000,"F",IF($R121&gt;=5000, "G"))))))))</f>
        <v xml:space="preserve"> </v>
      </c>
      <c r="T121" s="27"/>
      <c r="U121" s="27"/>
      <c r="V121" s="27"/>
      <c r="W121" s="27"/>
      <c r="X121" s="27"/>
      <c r="Y121" s="27"/>
      <c r="Z121" s="610"/>
      <c r="AA121" s="6"/>
      <c r="AK121" s="557" t="str">
        <f t="shared" si="14"/>
        <v xml:space="preserve"> </v>
      </c>
      <c r="AL121" s="321" t="str">
        <f t="shared" si="15"/>
        <v xml:space="preserve"> </v>
      </c>
      <c r="AM121" s="321" t="str">
        <f t="shared" si="16"/>
        <v xml:space="preserve"> </v>
      </c>
      <c r="AN121" s="321" t="str">
        <f t="shared" si="17"/>
        <v xml:space="preserve"> </v>
      </c>
      <c r="AO121" s="558" t="str">
        <f t="shared" si="18"/>
        <v xml:space="preserve"> </v>
      </c>
      <c r="AR121" s="6" t="str">
        <v/>
      </c>
    </row>
    <row r="122" spans="1:44" ht="13" x14ac:dyDescent="0.25">
      <c r="A122" s="607"/>
      <c r="B122" s="27"/>
      <c r="C122" s="27"/>
      <c r="D122" s="27"/>
      <c r="E122" s="27"/>
      <c r="F122" s="27"/>
      <c r="G122" s="27"/>
      <c r="H122" s="608"/>
      <c r="I122" s="63"/>
      <c r="J122" s="608"/>
      <c r="K122" s="63"/>
      <c r="L122" s="608"/>
      <c r="M122" s="63"/>
      <c r="N122" s="608"/>
      <c r="O122" s="63"/>
      <c r="P122" s="608"/>
      <c r="Q122" s="63"/>
      <c r="R122" s="63">
        <f>Table4[[#This Row],[Initial Acres]]+Table4[[#This Row],[Day 2 
Acres]]+Table4[[#This Row],[Day 3
Acres]]+Table4[[#This Row],[Day 4
Acres]]+Table4[[#This Row],[Day 5 
Acres]]</f>
        <v>0</v>
      </c>
      <c r="S122" s="27" t="str">
        <f>IF($R122&lt;=0, " ",IF($R122&lt;=0.25, "A",IF($R122&lt;10, "B",IF($R122&lt;100, "C", IF($R122&lt;300, "D",IF($R122&lt;1000, "E",IF($R122&lt;5000,"F",IF($R122&gt;=5000, "G"))))))))</f>
        <v xml:space="preserve"> </v>
      </c>
      <c r="T122" s="27"/>
      <c r="U122" s="27"/>
      <c r="V122" s="27"/>
      <c r="W122" s="27"/>
      <c r="X122" s="27"/>
      <c r="Y122" s="27"/>
      <c r="Z122" s="610"/>
      <c r="AA122" s="6"/>
      <c r="AK122" s="557" t="str">
        <f t="shared" si="14"/>
        <v xml:space="preserve"> </v>
      </c>
      <c r="AL122" s="321" t="str">
        <f t="shared" si="15"/>
        <v xml:space="preserve"> </v>
      </c>
      <c r="AM122" s="321" t="str">
        <f t="shared" si="16"/>
        <v xml:space="preserve"> </v>
      </c>
      <c r="AN122" s="321" t="str">
        <f t="shared" si="17"/>
        <v xml:space="preserve"> </v>
      </c>
      <c r="AO122" s="558" t="str">
        <f t="shared" si="18"/>
        <v xml:space="preserve"> </v>
      </c>
      <c r="AR122" s="6" t="str">
        <v/>
      </c>
    </row>
    <row r="123" spans="1:44" ht="13" x14ac:dyDescent="0.25">
      <c r="A123" s="607"/>
      <c r="B123" s="27"/>
      <c r="C123" s="27"/>
      <c r="D123" s="27"/>
      <c r="E123" s="27"/>
      <c r="F123" s="27"/>
      <c r="G123" s="27"/>
      <c r="H123" s="608"/>
      <c r="I123" s="63"/>
      <c r="J123" s="608"/>
      <c r="K123" s="63"/>
      <c r="L123" s="608"/>
      <c r="M123" s="63"/>
      <c r="N123" s="608"/>
      <c r="O123" s="63"/>
      <c r="P123" s="608"/>
      <c r="Q123" s="63"/>
      <c r="R123" s="63">
        <f>Table4[[#This Row],[Initial Acres]]+Table4[[#This Row],[Day 2 
Acres]]+Table4[[#This Row],[Day 3
Acres]]+Table4[[#This Row],[Day 4
Acres]]+Table4[[#This Row],[Day 5 
Acres]]</f>
        <v>0</v>
      </c>
      <c r="S123" s="27" t="str">
        <f>IF($R123&lt;=0, " ",IF($R123&lt;=0.25, "A",IF($R123&lt;10, "B",IF($R123&lt;100, "C", IF($R123&lt;300, "D",IF($R123&lt;1000, "E",IF($R123&lt;5000,"F",IF($R123&gt;=5000, "G"))))))))</f>
        <v xml:space="preserve"> </v>
      </c>
      <c r="T123" s="27"/>
      <c r="U123" s="27"/>
      <c r="V123" s="27"/>
      <c r="W123" s="27"/>
      <c r="X123" s="27"/>
      <c r="Y123" s="27"/>
      <c r="Z123" s="610"/>
      <c r="AA123" s="6"/>
      <c r="AK123" s="557" t="str">
        <f t="shared" si="14"/>
        <v xml:space="preserve"> </v>
      </c>
      <c r="AL123" s="321" t="str">
        <f t="shared" si="15"/>
        <v xml:space="preserve"> </v>
      </c>
      <c r="AM123" s="321" t="str">
        <f t="shared" si="16"/>
        <v xml:space="preserve"> </v>
      </c>
      <c r="AN123" s="321" t="str">
        <f t="shared" si="17"/>
        <v xml:space="preserve"> </v>
      </c>
      <c r="AO123" s="558" t="str">
        <f t="shared" si="18"/>
        <v xml:space="preserve"> </v>
      </c>
      <c r="AR123" s="6" t="str">
        <v/>
      </c>
    </row>
    <row r="124" spans="1:44" ht="13" x14ac:dyDescent="0.25">
      <c r="A124" s="607"/>
      <c r="B124" s="27"/>
      <c r="C124" s="27"/>
      <c r="D124" s="27"/>
      <c r="E124" s="27"/>
      <c r="F124" s="27"/>
      <c r="G124" s="27"/>
      <c r="H124" s="608"/>
      <c r="I124" s="63"/>
      <c r="J124" s="608"/>
      <c r="K124" s="63"/>
      <c r="L124" s="608"/>
      <c r="M124" s="63"/>
      <c r="N124" s="608"/>
      <c r="O124" s="63"/>
      <c r="P124" s="608"/>
      <c r="Q124" s="63"/>
      <c r="R124" s="63">
        <f>Table4[[#This Row],[Initial Acres]]+Table4[[#This Row],[Day 2 
Acres]]+Table4[[#This Row],[Day 3
Acres]]+Table4[[#This Row],[Day 4
Acres]]+Table4[[#This Row],[Day 5 
Acres]]</f>
        <v>0</v>
      </c>
      <c r="S124" s="27" t="str">
        <f>IF($R124&lt;=0, " ",IF($R124&lt;=0.25, "A",IF($R124&lt;10, "B",IF($R124&lt;100, "C", IF($R124&lt;300, "D",IF($R124&lt;1000, "E",IF($R124&lt;5000,"F",IF($R124&gt;=5000, "G"))))))))</f>
        <v xml:space="preserve"> </v>
      </c>
      <c r="T124" s="27"/>
      <c r="U124" s="27"/>
      <c r="V124" s="27"/>
      <c r="W124" s="27"/>
      <c r="X124" s="27"/>
      <c r="Y124" s="27"/>
      <c r="Z124" s="610"/>
      <c r="AA124" s="6"/>
      <c r="AK124" s="557" t="str">
        <f t="shared" si="14"/>
        <v xml:space="preserve"> </v>
      </c>
      <c r="AL124" s="321" t="str">
        <f t="shared" si="15"/>
        <v xml:space="preserve"> </v>
      </c>
      <c r="AM124" s="321" t="str">
        <f t="shared" si="16"/>
        <v xml:space="preserve"> </v>
      </c>
      <c r="AN124" s="321" t="str">
        <f t="shared" si="17"/>
        <v xml:space="preserve"> </v>
      </c>
      <c r="AO124" s="558" t="str">
        <f t="shared" si="18"/>
        <v xml:space="preserve"> </v>
      </c>
      <c r="AR124" s="6" t="str">
        <v/>
      </c>
    </row>
    <row r="125" spans="1:44" ht="13" x14ac:dyDescent="0.25">
      <c r="A125" s="607"/>
      <c r="B125" s="27"/>
      <c r="C125" s="27"/>
      <c r="D125" s="27"/>
      <c r="E125" s="27"/>
      <c r="F125" s="27"/>
      <c r="G125" s="27"/>
      <c r="H125" s="608"/>
      <c r="I125" s="63"/>
      <c r="J125" s="608"/>
      <c r="K125" s="63"/>
      <c r="L125" s="608"/>
      <c r="M125" s="63"/>
      <c r="N125" s="608"/>
      <c r="O125" s="63"/>
      <c r="P125" s="608"/>
      <c r="Q125" s="63"/>
      <c r="R125" s="63">
        <f>Table4[[#This Row],[Initial Acres]]+Table4[[#This Row],[Day 2 
Acres]]+Table4[[#This Row],[Day 3
Acres]]+Table4[[#This Row],[Day 4
Acres]]+Table4[[#This Row],[Day 5 
Acres]]</f>
        <v>0</v>
      </c>
      <c r="S125" s="27" t="str">
        <f>IF($R125&lt;=0, " ",IF($R125&lt;=0.25, "A",IF($R125&lt;10, "B",IF($R125&lt;100, "C", IF($R125&lt;300, "D",IF($R125&lt;1000, "E",IF($R125&lt;5000,"F",IF($R125&gt;=5000, "G"))))))))</f>
        <v xml:space="preserve"> </v>
      </c>
      <c r="T125" s="27"/>
      <c r="U125" s="27"/>
      <c r="V125" s="27"/>
      <c r="W125" s="27"/>
      <c r="X125" s="27"/>
      <c r="Y125" s="27"/>
      <c r="Z125" s="610"/>
      <c r="AA125" s="6"/>
      <c r="AK125" s="557" t="str">
        <f t="shared" si="14"/>
        <v xml:space="preserve"> </v>
      </c>
      <c r="AL125" s="321" t="str">
        <f t="shared" si="15"/>
        <v xml:space="preserve"> </v>
      </c>
      <c r="AM125" s="321" t="str">
        <f t="shared" si="16"/>
        <v xml:space="preserve"> </v>
      </c>
      <c r="AN125" s="321" t="str">
        <f t="shared" si="17"/>
        <v xml:space="preserve"> </v>
      </c>
      <c r="AO125" s="558" t="str">
        <f t="shared" si="18"/>
        <v xml:space="preserve"> </v>
      </c>
      <c r="AR125" s="6" t="str">
        <v/>
      </c>
    </row>
    <row r="126" spans="1:44" ht="13" x14ac:dyDescent="0.25">
      <c r="A126" s="607"/>
      <c r="B126" s="27"/>
      <c r="C126" s="27"/>
      <c r="D126" s="27"/>
      <c r="E126" s="27"/>
      <c r="F126" s="27"/>
      <c r="G126" s="27"/>
      <c r="H126" s="608"/>
      <c r="I126" s="63"/>
      <c r="J126" s="608"/>
      <c r="K126" s="63"/>
      <c r="L126" s="608"/>
      <c r="M126" s="63"/>
      <c r="N126" s="608"/>
      <c r="O126" s="63"/>
      <c r="P126" s="608"/>
      <c r="Q126" s="63"/>
      <c r="R126" s="63">
        <f>Table4[[#This Row],[Initial Acres]]+Table4[[#This Row],[Day 2 
Acres]]+Table4[[#This Row],[Day 3
Acres]]+Table4[[#This Row],[Day 4
Acres]]+Table4[[#This Row],[Day 5 
Acres]]</f>
        <v>0</v>
      </c>
      <c r="S126" s="27" t="str">
        <f>IF($R126&lt;=0, " ",IF($R126&lt;=0.25, "A",IF($R126&lt;10, "B",IF($R126&lt;100, "C", IF($R126&lt;300, "D",IF($R126&lt;1000, "E",IF($R126&lt;5000,"F",IF($R126&gt;=5000, "G"))))))))</f>
        <v xml:space="preserve"> </v>
      </c>
      <c r="T126" s="27"/>
      <c r="U126" s="27"/>
      <c r="V126" s="27"/>
      <c r="W126" s="27"/>
      <c r="X126" s="27"/>
      <c r="Y126" s="27"/>
      <c r="Z126" s="610"/>
      <c r="AA126" s="6"/>
      <c r="AK126" s="557" t="str">
        <f t="shared" si="14"/>
        <v xml:space="preserve"> </v>
      </c>
      <c r="AL126" s="321" t="str">
        <f t="shared" si="15"/>
        <v xml:space="preserve"> </v>
      </c>
      <c r="AM126" s="321" t="str">
        <f t="shared" si="16"/>
        <v xml:space="preserve"> </v>
      </c>
      <c r="AN126" s="321" t="str">
        <f t="shared" si="17"/>
        <v xml:space="preserve"> </v>
      </c>
      <c r="AO126" s="558" t="str">
        <f t="shared" si="18"/>
        <v xml:space="preserve"> </v>
      </c>
      <c r="AR126" s="6" t="str">
        <v/>
      </c>
    </row>
    <row r="127" spans="1:44" ht="13" x14ac:dyDescent="0.25">
      <c r="A127" s="607"/>
      <c r="B127" s="27"/>
      <c r="C127" s="27"/>
      <c r="D127" s="27"/>
      <c r="E127" s="27"/>
      <c r="F127" s="27"/>
      <c r="G127" s="27"/>
      <c r="H127" s="608"/>
      <c r="I127" s="63"/>
      <c r="J127" s="608"/>
      <c r="K127" s="63"/>
      <c r="L127" s="608"/>
      <c r="M127" s="63"/>
      <c r="N127" s="608"/>
      <c r="O127" s="63"/>
      <c r="P127" s="608"/>
      <c r="Q127" s="63"/>
      <c r="R127" s="63">
        <f>Table4[[#This Row],[Initial Acres]]+Table4[[#This Row],[Day 2 
Acres]]+Table4[[#This Row],[Day 3
Acres]]+Table4[[#This Row],[Day 4
Acres]]+Table4[[#This Row],[Day 5 
Acres]]</f>
        <v>0</v>
      </c>
      <c r="S127" s="27" t="str">
        <f>IF($R127&lt;=0, " ",IF($R127&lt;=0.25, "A",IF($R127&lt;10, "B",IF($R127&lt;100, "C", IF($R127&lt;300, "D",IF($R127&lt;1000, "E",IF($R127&lt;5000,"F",IF($R127&gt;=5000, "G"))))))))</f>
        <v xml:space="preserve"> </v>
      </c>
      <c r="T127" s="27"/>
      <c r="U127" s="27"/>
      <c r="V127" s="27"/>
      <c r="W127" s="27"/>
      <c r="X127" s="27"/>
      <c r="Y127" s="27"/>
      <c r="Z127" s="610"/>
      <c r="AA127" s="6"/>
      <c r="AK127" s="557" t="str">
        <f t="shared" si="14"/>
        <v xml:space="preserve"> </v>
      </c>
      <c r="AL127" s="321" t="str">
        <f t="shared" si="15"/>
        <v xml:space="preserve"> </v>
      </c>
      <c r="AM127" s="321" t="str">
        <f t="shared" si="16"/>
        <v xml:space="preserve"> </v>
      </c>
      <c r="AN127" s="321" t="str">
        <f t="shared" si="17"/>
        <v xml:space="preserve"> </v>
      </c>
      <c r="AO127" s="558" t="str">
        <f t="shared" si="18"/>
        <v xml:space="preserve"> </v>
      </c>
      <c r="AR127" s="6" t="str">
        <v/>
      </c>
    </row>
    <row r="128" spans="1:44" ht="13" x14ac:dyDescent="0.25">
      <c r="A128" s="607"/>
      <c r="B128" s="27"/>
      <c r="C128" s="27"/>
      <c r="D128" s="27"/>
      <c r="E128" s="27"/>
      <c r="F128" s="27"/>
      <c r="G128" s="27"/>
      <c r="H128" s="608"/>
      <c r="I128" s="63"/>
      <c r="J128" s="608"/>
      <c r="K128" s="63"/>
      <c r="L128" s="608"/>
      <c r="M128" s="63"/>
      <c r="N128" s="608"/>
      <c r="O128" s="63"/>
      <c r="P128" s="608"/>
      <c r="Q128" s="63"/>
      <c r="R128" s="63">
        <f>Table4[[#This Row],[Initial Acres]]+Table4[[#This Row],[Day 2 
Acres]]+Table4[[#This Row],[Day 3
Acres]]+Table4[[#This Row],[Day 4
Acres]]+Table4[[#This Row],[Day 5 
Acres]]</f>
        <v>0</v>
      </c>
      <c r="S128" s="27" t="str">
        <f>IF($R128&lt;=0, " ",IF($R128&lt;=0.25, "A",IF($R128&lt;10, "B",IF($R128&lt;100, "C", IF($R128&lt;300, "D",IF($R128&lt;1000, "E",IF($R128&lt;5000,"F",IF($R128&gt;=5000, "G"))))))))</f>
        <v xml:space="preserve"> </v>
      </c>
      <c r="T128" s="27"/>
      <c r="U128" s="27"/>
      <c r="V128" s="27"/>
      <c r="W128" s="27"/>
      <c r="X128" s="27"/>
      <c r="Y128" s="27"/>
      <c r="Z128" s="610"/>
      <c r="AA128" s="6"/>
      <c r="AK128" s="557" t="str">
        <f t="shared" si="14"/>
        <v xml:space="preserve"> </v>
      </c>
      <c r="AL128" s="321" t="str">
        <f t="shared" si="15"/>
        <v xml:space="preserve"> </v>
      </c>
      <c r="AM128" s="321" t="str">
        <f t="shared" si="16"/>
        <v xml:space="preserve"> </v>
      </c>
      <c r="AN128" s="321" t="str">
        <f t="shared" si="17"/>
        <v xml:space="preserve"> </v>
      </c>
      <c r="AO128" s="558" t="str">
        <f t="shared" si="18"/>
        <v xml:space="preserve"> </v>
      </c>
      <c r="AR128" s="6" t="str">
        <v/>
      </c>
    </row>
    <row r="129" spans="1:44" ht="13" x14ac:dyDescent="0.25">
      <c r="A129" s="607"/>
      <c r="B129" s="27"/>
      <c r="C129" s="27"/>
      <c r="D129" s="27"/>
      <c r="E129" s="27"/>
      <c r="F129" s="27"/>
      <c r="G129" s="27"/>
      <c r="H129" s="608"/>
      <c r="I129" s="63"/>
      <c r="J129" s="608"/>
      <c r="K129" s="63"/>
      <c r="L129" s="608"/>
      <c r="M129" s="63"/>
      <c r="N129" s="608"/>
      <c r="O129" s="63"/>
      <c r="P129" s="608"/>
      <c r="Q129" s="63"/>
      <c r="R129" s="63">
        <f>Table4[[#This Row],[Initial Acres]]+Table4[[#This Row],[Day 2 
Acres]]+Table4[[#This Row],[Day 3
Acres]]+Table4[[#This Row],[Day 4
Acres]]+Table4[[#This Row],[Day 5 
Acres]]</f>
        <v>0</v>
      </c>
      <c r="S129" s="27" t="str">
        <f>IF($R129&lt;=0, " ",IF($R129&lt;=0.25, "A",IF($R129&lt;10, "B",IF($R129&lt;100, "C", IF($R129&lt;300, "D",IF($R129&lt;1000, "E",IF($R129&lt;5000,"F",IF($R129&gt;=5000, "G"))))))))</f>
        <v xml:space="preserve"> </v>
      </c>
      <c r="T129" s="27"/>
      <c r="U129" s="27"/>
      <c r="V129" s="27"/>
      <c r="W129" s="27"/>
      <c r="X129" s="27"/>
      <c r="Y129" s="27"/>
      <c r="Z129" s="610"/>
      <c r="AA129" s="6"/>
      <c r="AK129" s="557" t="str">
        <f t="shared" si="14"/>
        <v xml:space="preserve"> </v>
      </c>
      <c r="AL129" s="321" t="str">
        <f t="shared" si="15"/>
        <v xml:space="preserve"> </v>
      </c>
      <c r="AM129" s="321" t="str">
        <f t="shared" si="16"/>
        <v xml:space="preserve"> </v>
      </c>
      <c r="AN129" s="321" t="str">
        <f t="shared" si="17"/>
        <v xml:space="preserve"> </v>
      </c>
      <c r="AO129" s="558" t="str">
        <f t="shared" si="18"/>
        <v xml:space="preserve"> </v>
      </c>
      <c r="AR129" s="6" t="str">
        <v/>
      </c>
    </row>
    <row r="130" spans="1:44" ht="13" x14ac:dyDescent="0.25">
      <c r="A130" s="607"/>
      <c r="B130" s="27"/>
      <c r="C130" s="27"/>
      <c r="D130" s="27"/>
      <c r="E130" s="27"/>
      <c r="F130" s="27"/>
      <c r="G130" s="27"/>
      <c r="H130" s="608"/>
      <c r="I130" s="63"/>
      <c r="J130" s="608"/>
      <c r="K130" s="63"/>
      <c r="L130" s="608"/>
      <c r="M130" s="63"/>
      <c r="N130" s="608"/>
      <c r="O130" s="63"/>
      <c r="P130" s="608"/>
      <c r="Q130" s="63"/>
      <c r="R130" s="63">
        <f>Table4[[#This Row],[Initial Acres]]+Table4[[#This Row],[Day 2 
Acres]]+Table4[[#This Row],[Day 3
Acres]]+Table4[[#This Row],[Day 4
Acres]]+Table4[[#This Row],[Day 5 
Acres]]</f>
        <v>0</v>
      </c>
      <c r="S130" s="27" t="str">
        <f>IF($R130&lt;=0, " ",IF($R130&lt;=0.25, "A",IF($R130&lt;10, "B",IF($R130&lt;100, "C", IF($R130&lt;300, "D",IF($R130&lt;1000, "E",IF($R130&lt;5000,"F",IF($R130&gt;=5000, "G"))))))))</f>
        <v xml:space="preserve"> </v>
      </c>
      <c r="T130" s="27"/>
      <c r="U130" s="27"/>
      <c r="V130" s="27"/>
      <c r="W130" s="27"/>
      <c r="X130" s="27"/>
      <c r="Y130" s="27"/>
      <c r="Z130" s="610"/>
      <c r="AA130" s="6"/>
      <c r="AK130" s="557" t="str">
        <f t="shared" si="14"/>
        <v xml:space="preserve"> </v>
      </c>
      <c r="AL130" s="321" t="str">
        <f t="shared" si="15"/>
        <v xml:space="preserve"> </v>
      </c>
      <c r="AM130" s="321" t="str">
        <f t="shared" si="16"/>
        <v xml:space="preserve"> </v>
      </c>
      <c r="AN130" s="321" t="str">
        <f t="shared" si="17"/>
        <v xml:space="preserve"> </v>
      </c>
      <c r="AO130" s="558" t="str">
        <f t="shared" si="18"/>
        <v xml:space="preserve"> </v>
      </c>
      <c r="AR130" s="6" t="str">
        <v/>
      </c>
    </row>
    <row r="131" spans="1:44" ht="13" x14ac:dyDescent="0.25">
      <c r="A131" s="607"/>
      <c r="B131" s="27"/>
      <c r="C131" s="27"/>
      <c r="D131" s="27"/>
      <c r="E131" s="27"/>
      <c r="F131" s="27"/>
      <c r="G131" s="27"/>
      <c r="H131" s="608"/>
      <c r="I131" s="63"/>
      <c r="J131" s="608"/>
      <c r="K131" s="63"/>
      <c r="L131" s="608"/>
      <c r="M131" s="63"/>
      <c r="N131" s="608"/>
      <c r="O131" s="63"/>
      <c r="P131" s="608"/>
      <c r="Q131" s="63"/>
      <c r="R131" s="63">
        <f>Table4[[#This Row],[Initial Acres]]+Table4[[#This Row],[Day 2 
Acres]]+Table4[[#This Row],[Day 3
Acres]]+Table4[[#This Row],[Day 4
Acres]]+Table4[[#This Row],[Day 5 
Acres]]</f>
        <v>0</v>
      </c>
      <c r="S131" s="27" t="str">
        <f>IF($R131&lt;=0, " ",IF($R131&lt;=0.25, "A",IF($R131&lt;10, "B",IF($R131&lt;100, "C", IF($R131&lt;300, "D",IF($R131&lt;1000, "E",IF($R131&lt;5000,"F",IF($R131&gt;=5000, "G"))))))))</f>
        <v xml:space="preserve"> </v>
      </c>
      <c r="T131" s="27"/>
      <c r="U131" s="27"/>
      <c r="V131" s="27"/>
      <c r="W131" s="27"/>
      <c r="X131" s="27"/>
      <c r="Y131" s="27"/>
      <c r="Z131" s="610"/>
      <c r="AA131" s="6"/>
      <c r="AK131" s="557" t="str">
        <f t="shared" si="14"/>
        <v xml:space="preserve"> </v>
      </c>
      <c r="AL131" s="321" t="str">
        <f t="shared" si="15"/>
        <v xml:space="preserve"> </v>
      </c>
      <c r="AM131" s="321" t="str">
        <f t="shared" si="16"/>
        <v xml:space="preserve"> </v>
      </c>
      <c r="AN131" s="321" t="str">
        <f t="shared" si="17"/>
        <v xml:space="preserve"> </v>
      </c>
      <c r="AO131" s="558" t="str">
        <f t="shared" si="18"/>
        <v xml:space="preserve"> </v>
      </c>
      <c r="AR131" s="6" t="str">
        <v/>
      </c>
    </row>
    <row r="132" spans="1:44" ht="13" x14ac:dyDescent="0.25">
      <c r="A132" s="607"/>
      <c r="B132" s="27"/>
      <c r="C132" s="27"/>
      <c r="D132" s="27"/>
      <c r="E132" s="27"/>
      <c r="F132" s="27"/>
      <c r="G132" s="27"/>
      <c r="H132" s="608"/>
      <c r="I132" s="63"/>
      <c r="J132" s="608"/>
      <c r="K132" s="63"/>
      <c r="L132" s="608"/>
      <c r="M132" s="63"/>
      <c r="N132" s="608"/>
      <c r="O132" s="63"/>
      <c r="P132" s="608"/>
      <c r="Q132" s="63"/>
      <c r="R132" s="63">
        <f>Table4[[#This Row],[Initial Acres]]+Table4[[#This Row],[Day 2 
Acres]]+Table4[[#This Row],[Day 3
Acres]]+Table4[[#This Row],[Day 4
Acres]]+Table4[[#This Row],[Day 5 
Acres]]</f>
        <v>0</v>
      </c>
      <c r="S132" s="27" t="str">
        <f>IF($R132&lt;=0, " ",IF($R132&lt;=0.25, "A",IF($R132&lt;10, "B",IF($R132&lt;100, "C", IF($R132&lt;300, "D",IF($R132&lt;1000, "E",IF($R132&lt;5000,"F",IF($R132&gt;=5000, "G"))))))))</f>
        <v xml:space="preserve"> </v>
      </c>
      <c r="T132" s="27"/>
      <c r="U132" s="27"/>
      <c r="V132" s="27"/>
      <c r="W132" s="27"/>
      <c r="X132" s="27"/>
      <c r="Y132" s="27"/>
      <c r="Z132" s="610"/>
      <c r="AA132" s="6"/>
      <c r="AK132" s="557" t="str">
        <f t="shared" si="14"/>
        <v xml:space="preserve"> </v>
      </c>
      <c r="AL132" s="321" t="str">
        <f t="shared" si="15"/>
        <v xml:space="preserve"> </v>
      </c>
      <c r="AM132" s="321" t="str">
        <f t="shared" si="16"/>
        <v xml:space="preserve"> </v>
      </c>
      <c r="AN132" s="321" t="str">
        <f t="shared" si="17"/>
        <v xml:space="preserve"> </v>
      </c>
      <c r="AO132" s="558" t="str">
        <f t="shared" si="18"/>
        <v xml:space="preserve"> </v>
      </c>
      <c r="AR132" s="6" t="str">
        <v/>
      </c>
    </row>
    <row r="133" spans="1:44" ht="13" x14ac:dyDescent="0.25">
      <c r="A133" s="607"/>
      <c r="B133" s="27"/>
      <c r="C133" s="27"/>
      <c r="D133" s="27"/>
      <c r="E133" s="27"/>
      <c r="F133" s="27"/>
      <c r="G133" s="27"/>
      <c r="H133" s="608"/>
      <c r="I133" s="63"/>
      <c r="J133" s="608"/>
      <c r="K133" s="63"/>
      <c r="L133" s="608"/>
      <c r="M133" s="63"/>
      <c r="N133" s="608"/>
      <c r="O133" s="63"/>
      <c r="P133" s="608"/>
      <c r="Q133" s="63"/>
      <c r="R133" s="63">
        <f>Table4[[#This Row],[Initial Acres]]+Table4[[#This Row],[Day 2 
Acres]]+Table4[[#This Row],[Day 3
Acres]]+Table4[[#This Row],[Day 4
Acres]]+Table4[[#This Row],[Day 5 
Acres]]</f>
        <v>0</v>
      </c>
      <c r="S133" s="27" t="str">
        <f>IF($R133&lt;=0, " ",IF($R133&lt;=0.25, "A",IF($R133&lt;10, "B",IF($R133&lt;100, "C", IF($R133&lt;300, "D",IF($R133&lt;1000, "E",IF($R133&lt;5000,"F",IF($R133&gt;=5000, "G"))))))))</f>
        <v xml:space="preserve"> </v>
      </c>
      <c r="T133" s="27"/>
      <c r="U133" s="27"/>
      <c r="V133" s="27"/>
      <c r="W133" s="27"/>
      <c r="X133" s="27"/>
      <c r="Y133" s="27"/>
      <c r="Z133" s="610"/>
      <c r="AA133" s="6"/>
      <c r="AK133" s="557" t="str">
        <f t="shared" ref="AK133:AK145" si="19">IF($H133,INT($H133)," ")</f>
        <v xml:space="preserve"> </v>
      </c>
      <c r="AL133" s="321" t="str">
        <f t="shared" ref="AL133:AL145" si="20">IF($J133,INT($J133)," ")</f>
        <v xml:space="preserve"> </v>
      </c>
      <c r="AM133" s="321" t="str">
        <f t="shared" ref="AM133:AM145" si="21">IF($L133,INT($L133)," ")</f>
        <v xml:space="preserve"> </v>
      </c>
      <c r="AN133" s="321" t="str">
        <f t="shared" ref="AN133:AN145" si="22">IF($N133,INT($N133)," ")</f>
        <v xml:space="preserve"> </v>
      </c>
      <c r="AO133" s="558" t="str">
        <f t="shared" ref="AO133:AO145" si="23">IF($P133,INT($P133)," ")</f>
        <v xml:space="preserve"> </v>
      </c>
      <c r="AR133" s="6" t="str">
        <v/>
      </c>
    </row>
    <row r="134" spans="1:44" ht="13" x14ac:dyDescent="0.25">
      <c r="A134" s="607"/>
      <c r="B134" s="27"/>
      <c r="C134" s="27"/>
      <c r="D134" s="27"/>
      <c r="E134" s="27"/>
      <c r="F134" s="27"/>
      <c r="G134" s="27"/>
      <c r="H134" s="608"/>
      <c r="I134" s="63"/>
      <c r="J134" s="608"/>
      <c r="K134" s="63"/>
      <c r="L134" s="608"/>
      <c r="M134" s="63"/>
      <c r="N134" s="608"/>
      <c r="O134" s="63"/>
      <c r="P134" s="608"/>
      <c r="Q134" s="63"/>
      <c r="R134" s="63">
        <f>Table4[[#This Row],[Initial Acres]]+Table4[[#This Row],[Day 2 
Acres]]+Table4[[#This Row],[Day 3
Acres]]+Table4[[#This Row],[Day 4
Acres]]+Table4[[#This Row],[Day 5 
Acres]]</f>
        <v>0</v>
      </c>
      <c r="S134" s="27" t="str">
        <f>IF($R134&lt;=0, " ",IF($R134&lt;=0.25, "A",IF($R134&lt;10, "B",IF($R134&lt;100, "C", IF($R134&lt;300, "D",IF($R134&lt;1000, "E",IF($R134&lt;5000,"F",IF($R134&gt;=5000, "G"))))))))</f>
        <v xml:space="preserve"> </v>
      </c>
      <c r="T134" s="27"/>
      <c r="U134" s="27"/>
      <c r="V134" s="27"/>
      <c r="W134" s="27"/>
      <c r="X134" s="27"/>
      <c r="Y134" s="27"/>
      <c r="Z134" s="610"/>
      <c r="AA134" s="6"/>
      <c r="AK134" s="557" t="str">
        <f t="shared" si="19"/>
        <v xml:space="preserve"> </v>
      </c>
      <c r="AL134" s="321" t="str">
        <f t="shared" si="20"/>
        <v xml:space="preserve"> </v>
      </c>
      <c r="AM134" s="321" t="str">
        <f t="shared" si="21"/>
        <v xml:space="preserve"> </v>
      </c>
      <c r="AN134" s="321" t="str">
        <f t="shared" si="22"/>
        <v xml:space="preserve"> </v>
      </c>
      <c r="AO134" s="558" t="str">
        <f t="shared" si="23"/>
        <v xml:space="preserve"> </v>
      </c>
      <c r="AR134" s="6" t="str">
        <v/>
      </c>
    </row>
    <row r="135" spans="1:44" ht="13" x14ac:dyDescent="0.25">
      <c r="A135" s="607"/>
      <c r="B135" s="27"/>
      <c r="C135" s="27"/>
      <c r="D135" s="27"/>
      <c r="E135" s="27"/>
      <c r="F135" s="27"/>
      <c r="G135" s="27"/>
      <c r="H135" s="608"/>
      <c r="I135" s="63"/>
      <c r="J135" s="608"/>
      <c r="K135" s="63"/>
      <c r="L135" s="608"/>
      <c r="M135" s="63"/>
      <c r="N135" s="608"/>
      <c r="O135" s="63"/>
      <c r="P135" s="608"/>
      <c r="Q135" s="63"/>
      <c r="R135" s="63">
        <f>Table4[[#This Row],[Initial Acres]]+Table4[[#This Row],[Day 2 
Acres]]+Table4[[#This Row],[Day 3
Acres]]+Table4[[#This Row],[Day 4
Acres]]+Table4[[#This Row],[Day 5 
Acres]]</f>
        <v>0</v>
      </c>
      <c r="S135" s="27" t="str">
        <f>IF($R135&lt;=0, " ",IF($R135&lt;=0.25, "A",IF($R135&lt;10, "B",IF($R135&lt;100, "C", IF($R135&lt;300, "D",IF($R135&lt;1000, "E",IF($R135&lt;5000,"F",IF($R135&gt;=5000, "G"))))))))</f>
        <v xml:space="preserve"> </v>
      </c>
      <c r="T135" s="27"/>
      <c r="U135" s="27"/>
      <c r="V135" s="27"/>
      <c r="W135" s="27"/>
      <c r="X135" s="27"/>
      <c r="Y135" s="27"/>
      <c r="Z135" s="610"/>
      <c r="AA135" s="6"/>
      <c r="AK135" s="557" t="str">
        <f t="shared" si="19"/>
        <v xml:space="preserve"> </v>
      </c>
      <c r="AL135" s="321" t="str">
        <f t="shared" si="20"/>
        <v xml:space="preserve"> </v>
      </c>
      <c r="AM135" s="321" t="str">
        <f t="shared" si="21"/>
        <v xml:space="preserve"> </v>
      </c>
      <c r="AN135" s="321" t="str">
        <f t="shared" si="22"/>
        <v xml:space="preserve"> </v>
      </c>
      <c r="AO135" s="558" t="str">
        <f t="shared" si="23"/>
        <v xml:space="preserve"> </v>
      </c>
      <c r="AR135" s="6" t="str">
        <v/>
      </c>
    </row>
    <row r="136" spans="1:44" ht="13" x14ac:dyDescent="0.25">
      <c r="A136" s="607"/>
      <c r="B136" s="27"/>
      <c r="C136" s="27"/>
      <c r="D136" s="27"/>
      <c r="E136" s="27"/>
      <c r="F136" s="27"/>
      <c r="G136" s="27"/>
      <c r="H136" s="608"/>
      <c r="I136" s="63"/>
      <c r="J136" s="608"/>
      <c r="K136" s="63"/>
      <c r="L136" s="608"/>
      <c r="M136" s="63"/>
      <c r="N136" s="608"/>
      <c r="O136" s="63"/>
      <c r="P136" s="608"/>
      <c r="Q136" s="63"/>
      <c r="R136" s="63">
        <f>Table4[[#This Row],[Initial Acres]]+Table4[[#This Row],[Day 2 
Acres]]+Table4[[#This Row],[Day 3
Acres]]+Table4[[#This Row],[Day 4
Acres]]+Table4[[#This Row],[Day 5 
Acres]]</f>
        <v>0</v>
      </c>
      <c r="S136" s="27" t="str">
        <f>IF($R136&lt;=0, " ",IF($R136&lt;=0.25, "A",IF($R136&lt;10, "B",IF($R136&lt;100, "C", IF($R136&lt;300, "D",IF($R136&lt;1000, "E",IF($R136&lt;5000,"F",IF($R136&gt;=5000, "G"))))))))</f>
        <v xml:space="preserve"> </v>
      </c>
      <c r="T136" s="27"/>
      <c r="U136" s="27"/>
      <c r="V136" s="27"/>
      <c r="W136" s="27"/>
      <c r="X136" s="27"/>
      <c r="Y136" s="27"/>
      <c r="Z136" s="610"/>
      <c r="AA136" s="6"/>
      <c r="AK136" s="557" t="str">
        <f t="shared" si="19"/>
        <v xml:space="preserve"> </v>
      </c>
      <c r="AL136" s="321" t="str">
        <f t="shared" si="20"/>
        <v xml:space="preserve"> </v>
      </c>
      <c r="AM136" s="321" t="str">
        <f t="shared" si="21"/>
        <v xml:space="preserve"> </v>
      </c>
      <c r="AN136" s="321" t="str">
        <f t="shared" si="22"/>
        <v xml:space="preserve"> </v>
      </c>
      <c r="AO136" s="558" t="str">
        <f t="shared" si="23"/>
        <v xml:space="preserve"> </v>
      </c>
      <c r="AR136" s="6" t="str">
        <v/>
      </c>
    </row>
    <row r="137" spans="1:44" ht="13" x14ac:dyDescent="0.25">
      <c r="A137" s="607"/>
      <c r="B137" s="27"/>
      <c r="C137" s="27"/>
      <c r="D137" s="27"/>
      <c r="E137" s="27"/>
      <c r="F137" s="27"/>
      <c r="G137" s="27"/>
      <c r="H137" s="608"/>
      <c r="I137" s="63"/>
      <c r="J137" s="608"/>
      <c r="K137" s="63"/>
      <c r="L137" s="608"/>
      <c r="M137" s="63"/>
      <c r="N137" s="608"/>
      <c r="O137" s="63"/>
      <c r="P137" s="608"/>
      <c r="Q137" s="63"/>
      <c r="R137" s="63">
        <f>Table4[[#This Row],[Initial Acres]]+Table4[[#This Row],[Day 2 
Acres]]+Table4[[#This Row],[Day 3
Acres]]+Table4[[#This Row],[Day 4
Acres]]+Table4[[#This Row],[Day 5 
Acres]]</f>
        <v>0</v>
      </c>
      <c r="S137" s="27" t="str">
        <f>IF($R137&lt;=0, " ",IF($R137&lt;=0.25, "A",IF($R137&lt;10, "B",IF($R137&lt;100, "C", IF($R137&lt;300, "D",IF($R137&lt;1000, "E",IF($R137&lt;5000,"F",IF($R137&gt;=5000, "G"))))))))</f>
        <v xml:space="preserve"> </v>
      </c>
      <c r="T137" s="27"/>
      <c r="U137" s="27"/>
      <c r="V137" s="27"/>
      <c r="W137" s="27"/>
      <c r="X137" s="27"/>
      <c r="Y137" s="27"/>
      <c r="Z137" s="610"/>
      <c r="AA137" s="6"/>
      <c r="AK137" s="557" t="str">
        <f t="shared" si="19"/>
        <v xml:space="preserve"> </v>
      </c>
      <c r="AL137" s="321" t="str">
        <f t="shared" si="20"/>
        <v xml:space="preserve"> </v>
      </c>
      <c r="AM137" s="321" t="str">
        <f t="shared" si="21"/>
        <v xml:space="preserve"> </v>
      </c>
      <c r="AN137" s="321" t="str">
        <f t="shared" si="22"/>
        <v xml:space="preserve"> </v>
      </c>
      <c r="AO137" s="558" t="str">
        <f t="shared" si="23"/>
        <v xml:space="preserve"> </v>
      </c>
      <c r="AR137" s="6" t="str">
        <v/>
      </c>
    </row>
    <row r="138" spans="1:44" ht="13" x14ac:dyDescent="0.25">
      <c r="A138" s="607"/>
      <c r="B138" s="27"/>
      <c r="C138" s="27"/>
      <c r="D138" s="27"/>
      <c r="E138" s="27"/>
      <c r="F138" s="27"/>
      <c r="G138" s="27"/>
      <c r="H138" s="608"/>
      <c r="I138" s="63"/>
      <c r="J138" s="608"/>
      <c r="K138" s="63"/>
      <c r="L138" s="608"/>
      <c r="M138" s="63"/>
      <c r="N138" s="608"/>
      <c r="O138" s="63"/>
      <c r="P138" s="608"/>
      <c r="Q138" s="63"/>
      <c r="R138" s="63">
        <f>Table4[[#This Row],[Initial Acres]]+Table4[[#This Row],[Day 2 
Acres]]+Table4[[#This Row],[Day 3
Acres]]+Table4[[#This Row],[Day 4
Acres]]+Table4[[#This Row],[Day 5 
Acres]]</f>
        <v>0</v>
      </c>
      <c r="S138" s="27" t="str">
        <f>IF($R138&lt;=0, " ",IF($R138&lt;=0.25, "A",IF($R138&lt;10, "B",IF($R138&lt;100, "C", IF($R138&lt;300, "D",IF($R138&lt;1000, "E",IF($R138&lt;5000,"F",IF($R138&gt;=5000, "G"))))))))</f>
        <v xml:space="preserve"> </v>
      </c>
      <c r="T138" s="27"/>
      <c r="U138" s="27"/>
      <c r="V138" s="27"/>
      <c r="W138" s="27"/>
      <c r="X138" s="27"/>
      <c r="Y138" s="27"/>
      <c r="Z138" s="610"/>
      <c r="AA138" s="6"/>
      <c r="AK138" s="557" t="str">
        <f t="shared" si="19"/>
        <v xml:space="preserve"> </v>
      </c>
      <c r="AL138" s="321" t="str">
        <f t="shared" si="20"/>
        <v xml:space="preserve"> </v>
      </c>
      <c r="AM138" s="321" t="str">
        <f t="shared" si="21"/>
        <v xml:space="preserve"> </v>
      </c>
      <c r="AN138" s="321" t="str">
        <f t="shared" si="22"/>
        <v xml:space="preserve"> </v>
      </c>
      <c r="AO138" s="558" t="str">
        <f t="shared" si="23"/>
        <v xml:space="preserve"> </v>
      </c>
      <c r="AR138" s="6" t="str">
        <v/>
      </c>
    </row>
    <row r="139" spans="1:44" ht="13" x14ac:dyDescent="0.25">
      <c r="A139" s="607"/>
      <c r="B139" s="27"/>
      <c r="C139" s="27"/>
      <c r="D139" s="27"/>
      <c r="E139" s="27"/>
      <c r="F139" s="27"/>
      <c r="G139" s="27"/>
      <c r="H139" s="608"/>
      <c r="I139" s="63"/>
      <c r="J139" s="608"/>
      <c r="K139" s="63"/>
      <c r="L139" s="608"/>
      <c r="M139" s="63"/>
      <c r="N139" s="608"/>
      <c r="O139" s="63"/>
      <c r="P139" s="608"/>
      <c r="Q139" s="63"/>
      <c r="R139" s="63">
        <f>Table4[[#This Row],[Initial Acres]]+Table4[[#This Row],[Day 2 
Acres]]+Table4[[#This Row],[Day 3
Acres]]+Table4[[#This Row],[Day 4
Acres]]+Table4[[#This Row],[Day 5 
Acres]]</f>
        <v>0</v>
      </c>
      <c r="S139" s="27" t="str">
        <f>IF($R139&lt;=0, " ",IF($R139&lt;=0.25, "A",IF($R139&lt;10, "B",IF($R139&lt;100, "C", IF($R139&lt;300, "D",IF($R139&lt;1000, "E",IF($R139&lt;5000,"F",IF($R139&gt;=5000, "G"))))))))</f>
        <v xml:space="preserve"> </v>
      </c>
      <c r="T139" s="27"/>
      <c r="U139" s="27"/>
      <c r="V139" s="27"/>
      <c r="W139" s="27"/>
      <c r="X139" s="27"/>
      <c r="Y139" s="27"/>
      <c r="Z139" s="610"/>
      <c r="AA139" s="6"/>
      <c r="AK139" s="557" t="str">
        <f t="shared" si="19"/>
        <v xml:space="preserve"> </v>
      </c>
      <c r="AL139" s="321" t="str">
        <f t="shared" si="20"/>
        <v xml:space="preserve"> </v>
      </c>
      <c r="AM139" s="321" t="str">
        <f t="shared" si="21"/>
        <v xml:space="preserve"> </v>
      </c>
      <c r="AN139" s="321" t="str">
        <f t="shared" si="22"/>
        <v xml:space="preserve"> </v>
      </c>
      <c r="AO139" s="558" t="str">
        <f t="shared" si="23"/>
        <v xml:space="preserve"> </v>
      </c>
      <c r="AR139" s="6" t="str">
        <v/>
      </c>
    </row>
    <row r="140" spans="1:44" ht="13" x14ac:dyDescent="0.25">
      <c r="A140" s="607"/>
      <c r="B140" s="27"/>
      <c r="C140" s="27"/>
      <c r="D140" s="27"/>
      <c r="E140" s="27"/>
      <c r="F140" s="27"/>
      <c r="G140" s="27"/>
      <c r="H140" s="608"/>
      <c r="I140" s="63"/>
      <c r="J140" s="608"/>
      <c r="K140" s="63"/>
      <c r="L140" s="608"/>
      <c r="M140" s="63"/>
      <c r="N140" s="608"/>
      <c r="O140" s="63"/>
      <c r="P140" s="608"/>
      <c r="Q140" s="63"/>
      <c r="R140" s="63">
        <f>Table4[[#This Row],[Initial Acres]]+Table4[[#This Row],[Day 2 
Acres]]+Table4[[#This Row],[Day 3
Acres]]+Table4[[#This Row],[Day 4
Acres]]+Table4[[#This Row],[Day 5 
Acres]]</f>
        <v>0</v>
      </c>
      <c r="S140" s="27" t="str">
        <f>IF($R140&lt;=0, " ",IF($R140&lt;=0.25, "A",IF($R140&lt;10, "B",IF($R140&lt;100, "C", IF($R140&lt;300, "D",IF($R140&lt;1000, "E",IF($R140&lt;5000,"F",IF($R140&gt;=5000, "G"))))))))</f>
        <v xml:space="preserve"> </v>
      </c>
      <c r="T140" s="27"/>
      <c r="U140" s="27"/>
      <c r="V140" s="27"/>
      <c r="W140" s="27"/>
      <c r="X140" s="27"/>
      <c r="Y140" s="27"/>
      <c r="Z140" s="610"/>
      <c r="AA140" s="6"/>
      <c r="AK140" s="557" t="str">
        <f t="shared" si="19"/>
        <v xml:space="preserve"> </v>
      </c>
      <c r="AL140" s="321" t="str">
        <f t="shared" si="20"/>
        <v xml:space="preserve"> </v>
      </c>
      <c r="AM140" s="321" t="str">
        <f t="shared" si="21"/>
        <v xml:space="preserve"> </v>
      </c>
      <c r="AN140" s="321" t="str">
        <f t="shared" si="22"/>
        <v xml:space="preserve"> </v>
      </c>
      <c r="AO140" s="558" t="str">
        <f t="shared" si="23"/>
        <v xml:space="preserve"> </v>
      </c>
      <c r="AR140" s="6" t="str">
        <v/>
      </c>
    </row>
    <row r="141" spans="1:44" ht="13" x14ac:dyDescent="0.25">
      <c r="A141" s="607"/>
      <c r="B141" s="27"/>
      <c r="C141" s="27"/>
      <c r="D141" s="27"/>
      <c r="E141" s="27"/>
      <c r="F141" s="27"/>
      <c r="G141" s="27"/>
      <c r="H141" s="608"/>
      <c r="I141" s="63"/>
      <c r="J141" s="608"/>
      <c r="K141" s="63"/>
      <c r="L141" s="608"/>
      <c r="M141" s="63"/>
      <c r="N141" s="608"/>
      <c r="O141" s="63"/>
      <c r="P141" s="608"/>
      <c r="Q141" s="63"/>
      <c r="R141" s="63">
        <f>Table4[[#This Row],[Initial Acres]]+Table4[[#This Row],[Day 2 
Acres]]+Table4[[#This Row],[Day 3
Acres]]+Table4[[#This Row],[Day 4
Acres]]+Table4[[#This Row],[Day 5 
Acres]]</f>
        <v>0</v>
      </c>
      <c r="S141" s="27" t="str">
        <f>IF($R141&lt;=0, " ",IF($R141&lt;=0.25, "A",IF($R141&lt;10, "B",IF($R141&lt;100, "C", IF($R141&lt;300, "D",IF($R141&lt;1000, "E",IF($R141&lt;5000,"F",IF($R141&gt;=5000, "G"))))))))</f>
        <v xml:space="preserve"> </v>
      </c>
      <c r="T141" s="27"/>
      <c r="U141" s="27"/>
      <c r="V141" s="27"/>
      <c r="W141" s="27"/>
      <c r="X141" s="27"/>
      <c r="Y141" s="27"/>
      <c r="Z141" s="610"/>
      <c r="AA141" s="6"/>
      <c r="AK141" s="557" t="str">
        <f t="shared" si="19"/>
        <v xml:space="preserve"> </v>
      </c>
      <c r="AL141" s="321" t="str">
        <f t="shared" si="20"/>
        <v xml:space="preserve"> </v>
      </c>
      <c r="AM141" s="321" t="str">
        <f t="shared" si="21"/>
        <v xml:space="preserve"> </v>
      </c>
      <c r="AN141" s="321" t="str">
        <f t="shared" si="22"/>
        <v xml:space="preserve"> </v>
      </c>
      <c r="AO141" s="558" t="str">
        <f t="shared" si="23"/>
        <v xml:space="preserve"> </v>
      </c>
      <c r="AR141" s="6" t="str">
        <v/>
      </c>
    </row>
    <row r="142" spans="1:44" ht="13" x14ac:dyDescent="0.25">
      <c r="A142" s="607"/>
      <c r="B142" s="27"/>
      <c r="C142" s="27"/>
      <c r="D142" s="27"/>
      <c r="E142" s="27"/>
      <c r="F142" s="27"/>
      <c r="G142" s="27"/>
      <c r="H142" s="608"/>
      <c r="I142" s="63"/>
      <c r="J142" s="608"/>
      <c r="K142" s="63"/>
      <c r="L142" s="608"/>
      <c r="M142" s="63"/>
      <c r="N142" s="608"/>
      <c r="O142" s="63"/>
      <c r="P142" s="608"/>
      <c r="Q142" s="63"/>
      <c r="R142" s="63">
        <f>Table4[[#This Row],[Initial Acres]]+Table4[[#This Row],[Day 2 
Acres]]+Table4[[#This Row],[Day 3
Acres]]+Table4[[#This Row],[Day 4
Acres]]+Table4[[#This Row],[Day 5 
Acres]]</f>
        <v>0</v>
      </c>
      <c r="S142" s="27" t="str">
        <f>IF($R142&lt;=0, " ",IF($R142&lt;=0.25, "A",IF($R142&lt;10, "B",IF($R142&lt;100, "C", IF($R142&lt;300, "D",IF($R142&lt;1000, "E",IF($R142&lt;5000,"F",IF($R142&gt;=5000, "G"))))))))</f>
        <v xml:space="preserve"> </v>
      </c>
      <c r="T142" s="27"/>
      <c r="U142" s="27"/>
      <c r="V142" s="27"/>
      <c r="W142" s="27"/>
      <c r="X142" s="27"/>
      <c r="Y142" s="27"/>
      <c r="Z142" s="610"/>
      <c r="AA142" s="6"/>
      <c r="AK142" s="557" t="str">
        <f t="shared" si="19"/>
        <v xml:space="preserve"> </v>
      </c>
      <c r="AL142" s="321" t="str">
        <f t="shared" si="20"/>
        <v xml:space="preserve"> </v>
      </c>
      <c r="AM142" s="321" t="str">
        <f t="shared" si="21"/>
        <v xml:space="preserve"> </v>
      </c>
      <c r="AN142" s="321" t="str">
        <f t="shared" si="22"/>
        <v xml:space="preserve"> </v>
      </c>
      <c r="AO142" s="558" t="str">
        <f t="shared" si="23"/>
        <v xml:space="preserve"> </v>
      </c>
      <c r="AR142" s="6" t="str">
        <v/>
      </c>
    </row>
    <row r="143" spans="1:44" ht="13" x14ac:dyDescent="0.25">
      <c r="A143" s="607"/>
      <c r="B143" s="27"/>
      <c r="C143" s="27"/>
      <c r="D143" s="27"/>
      <c r="E143" s="27"/>
      <c r="F143" s="27"/>
      <c r="G143" s="27"/>
      <c r="H143" s="608"/>
      <c r="I143" s="63"/>
      <c r="J143" s="608"/>
      <c r="K143" s="63"/>
      <c r="L143" s="608"/>
      <c r="M143" s="63"/>
      <c r="N143" s="608"/>
      <c r="O143" s="63"/>
      <c r="P143" s="608"/>
      <c r="Q143" s="63"/>
      <c r="R143" s="63">
        <f>Table4[[#This Row],[Initial Acres]]+Table4[[#This Row],[Day 2 
Acres]]+Table4[[#This Row],[Day 3
Acres]]+Table4[[#This Row],[Day 4
Acres]]+Table4[[#This Row],[Day 5 
Acres]]</f>
        <v>0</v>
      </c>
      <c r="S143" s="27" t="str">
        <f>IF($R143&lt;=0, " ",IF($R143&lt;=0.25, "A",IF($R143&lt;10, "B",IF($R143&lt;100, "C", IF($R143&lt;300, "D",IF($R143&lt;1000, "E",IF($R143&lt;5000,"F",IF($R143&gt;=5000, "G"))))))))</f>
        <v xml:space="preserve"> </v>
      </c>
      <c r="T143" s="27"/>
      <c r="U143" s="27"/>
      <c r="V143" s="27"/>
      <c r="W143" s="27"/>
      <c r="X143" s="27"/>
      <c r="Y143" s="27"/>
      <c r="Z143" s="610"/>
      <c r="AA143" s="6"/>
      <c r="AK143" s="557" t="str">
        <f t="shared" si="19"/>
        <v xml:space="preserve"> </v>
      </c>
      <c r="AL143" s="321" t="str">
        <f t="shared" si="20"/>
        <v xml:space="preserve"> </v>
      </c>
      <c r="AM143" s="321" t="str">
        <f t="shared" si="21"/>
        <v xml:space="preserve"> </v>
      </c>
      <c r="AN143" s="321" t="str">
        <f t="shared" si="22"/>
        <v xml:space="preserve"> </v>
      </c>
      <c r="AO143" s="558" t="str">
        <f t="shared" si="23"/>
        <v xml:space="preserve"> </v>
      </c>
      <c r="AR143" s="6" t="str">
        <v/>
      </c>
    </row>
    <row r="144" spans="1:44" ht="13.5" thickBot="1" x14ac:dyDescent="0.3">
      <c r="A144" s="616"/>
      <c r="B144" s="617"/>
      <c r="C144" s="617"/>
      <c r="D144" s="617"/>
      <c r="E144" s="617"/>
      <c r="F144" s="617"/>
      <c r="G144" s="617"/>
      <c r="H144" s="618"/>
      <c r="I144" s="619"/>
      <c r="J144" s="618"/>
      <c r="K144" s="619"/>
      <c r="L144" s="618"/>
      <c r="M144" s="619"/>
      <c r="N144" s="618"/>
      <c r="O144" s="619"/>
      <c r="P144" s="618"/>
      <c r="Q144" s="619"/>
      <c r="R144" s="619">
        <f>Table4[[#This Row],[Initial Acres]]+Table4[[#This Row],[Day 2 
Acres]]+Table4[[#This Row],[Day 3
Acres]]+Table4[[#This Row],[Day 4
Acres]]+Table4[[#This Row],[Day 5 
Acres]]</f>
        <v>0</v>
      </c>
      <c r="S144" s="617" t="str">
        <f>IF($R144&lt;=0, " ",IF($R144&lt;=0.25, "A",IF($R144&lt;10, "B",IF($R144&lt;100, "C", IF($R144&lt;300, "D",IF($R144&lt;1000, "E",IF($R144&lt;5000,"F",IF($R144&gt;=5000, "G"))))))))</f>
        <v xml:space="preserve"> </v>
      </c>
      <c r="T144" s="617"/>
      <c r="U144" s="617"/>
      <c r="V144" s="617"/>
      <c r="W144" s="617"/>
      <c r="X144" s="617"/>
      <c r="Y144" s="617"/>
      <c r="Z144" s="620"/>
      <c r="AA144" s="6"/>
      <c r="AK144" s="557" t="str">
        <f t="shared" si="19"/>
        <v xml:space="preserve"> </v>
      </c>
      <c r="AL144" s="321" t="str">
        <f t="shared" si="20"/>
        <v xml:space="preserve"> </v>
      </c>
      <c r="AM144" s="321" t="str">
        <f t="shared" si="21"/>
        <v xml:space="preserve"> </v>
      </c>
      <c r="AN144" s="321" t="str">
        <f t="shared" si="22"/>
        <v xml:space="preserve"> </v>
      </c>
      <c r="AO144" s="558" t="str">
        <f t="shared" si="23"/>
        <v xml:space="preserve"> </v>
      </c>
      <c r="AR144" s="6" t="str">
        <v/>
      </c>
    </row>
    <row r="145" spans="27:41" x14ac:dyDescent="0.25">
      <c r="AA145" s="6"/>
      <c r="AK145" s="559" t="str">
        <f t="shared" si="19"/>
        <v xml:space="preserve"> </v>
      </c>
      <c r="AL145" s="560" t="str">
        <f t="shared" si="20"/>
        <v xml:space="preserve"> </v>
      </c>
      <c r="AM145" s="560" t="str">
        <f t="shared" si="21"/>
        <v xml:space="preserve"> </v>
      </c>
      <c r="AN145" s="560" t="str">
        <f t="shared" si="22"/>
        <v xml:space="preserve"> </v>
      </c>
      <c r="AO145" s="561" t="str">
        <f t="shared" si="23"/>
        <v xml:space="preserve"> </v>
      </c>
    </row>
  </sheetData>
  <sheetProtection selectLockedCells="1" selectUnlockedCells="1"/>
  <dataConsolidate/>
  <mergeCells count="33">
    <mergeCell ref="AE5:AE7"/>
    <mergeCell ref="AB5:AB7"/>
    <mergeCell ref="AC5:AC7"/>
    <mergeCell ref="AD5:AD7"/>
    <mergeCell ref="AF5:AF7"/>
    <mergeCell ref="AB57:AE61"/>
    <mergeCell ref="AG14:AG16"/>
    <mergeCell ref="AB14:AB16"/>
    <mergeCell ref="AC14:AC16"/>
    <mergeCell ref="AD14:AD16"/>
    <mergeCell ref="AE14:AE16"/>
    <mergeCell ref="AF14:AF16"/>
    <mergeCell ref="AF40:AI40"/>
    <mergeCell ref="AB51:AI51"/>
    <mergeCell ref="AB52:AE52"/>
    <mergeCell ref="AF52:AI52"/>
    <mergeCell ref="AB45:AE49"/>
    <mergeCell ref="A1:C1"/>
    <mergeCell ref="AE53:AE56"/>
    <mergeCell ref="AB28:AE28"/>
    <mergeCell ref="AF28:AI28"/>
    <mergeCell ref="AB39:AI39"/>
    <mergeCell ref="AH14:AH16"/>
    <mergeCell ref="AI14:AI16"/>
    <mergeCell ref="AB27:AI27"/>
    <mergeCell ref="AB33:AE37"/>
    <mergeCell ref="AG5:AG7"/>
    <mergeCell ref="AH5:AH7"/>
    <mergeCell ref="AB4:AI4"/>
    <mergeCell ref="AB13:AI13"/>
    <mergeCell ref="AI5:AI7"/>
    <mergeCell ref="AI53:AI61"/>
    <mergeCell ref="AB40:AE40"/>
  </mergeCells>
  <phoneticPr fontId="36" type="noConversion"/>
  <conditionalFormatting sqref="X4:X144">
    <cfRule type="containsText" dxfId="7" priority="39" operator="containsText" text="N">
      <formula>NOT(ISERROR(SEARCH("N",X4)))</formula>
    </cfRule>
  </conditionalFormatting>
  <conditionalFormatting sqref="AB54:AD56 AB57">
    <cfRule type="expression" dxfId="6" priority="11">
      <formula>MOD(ROW(),2)</formula>
    </cfRule>
  </conditionalFormatting>
  <conditionalFormatting sqref="AB30:AE32 AB33">
    <cfRule type="expression" dxfId="5" priority="2">
      <formula>MOD(ROW(),2)</formula>
    </cfRule>
  </conditionalFormatting>
  <conditionalFormatting sqref="AB42:AE44 AB45">
    <cfRule type="expression" dxfId="4" priority="6">
      <formula>MOD(ROW(),2)</formula>
    </cfRule>
  </conditionalFormatting>
  <conditionalFormatting sqref="AB8:AI11 AB17:AI25">
    <cfRule type="expression" dxfId="3" priority="28">
      <formula>MOD(ROW(),2)</formula>
    </cfRule>
  </conditionalFormatting>
  <conditionalFormatting sqref="AF54:AH61">
    <cfRule type="expression" dxfId="2" priority="10">
      <formula>MOD(ROW(),2)</formula>
    </cfRule>
  </conditionalFormatting>
  <conditionalFormatting sqref="AF30:AI37">
    <cfRule type="expression" dxfId="1" priority="1">
      <formula>MOD(ROW(),2)</formula>
    </cfRule>
  </conditionalFormatting>
  <conditionalFormatting sqref="AF42:AI49">
    <cfRule type="expression" dxfId="0" priority="5">
      <formula>MOD(ROW(),2)</formula>
    </cfRule>
  </conditionalFormatting>
  <dataValidations count="4">
    <dataValidation allowBlank="1" showInputMessage="1" showErrorMessage="1" promptTitle="New Acres Updated" prompt="After SIT, CAD, and YTD have been updated with current acreage total yellow headed columns can be replaced with new acreage updates as needed." sqref="Z3" xr:uid="{A10AD835-11C2-4B16-9C28-EB58D0E792CB}"/>
    <dataValidation allowBlank="1" showInputMessage="1" showErrorMessage="1" promptTitle="New RX or New Unit?" prompt="Only new RXs get a &quot;Yes&quot; here. If it is a new unit to a RX that already exists, it gets a &quot;No&quot;. " sqref="B3" xr:uid="{C23AAA98-6BF7-4376-A6C3-6D2D5ACD476C}"/>
    <dataValidation allowBlank="1" showErrorMessage="1" promptTitle="SIT Data Entered" prompt="Identify data entered in SIT using the same format as in SIT along with the date &amp; your initials (e.g. 1 LNF H for 2.34 LNF H acres; 4/10 HP)" sqref="X3" xr:uid="{570FF8CC-ABBC-4D13-8EF1-6646E6DF90F6}"/>
    <dataValidation allowBlank="1" showInputMessage="1" showErrorMessage="1" promptTitle="Additional Acres" prompt="Identify additional acreage and date. _x000a_Esnsure total acres is accurate in spreadsheet." sqref="Y3" xr:uid="{AB3C0BC6-C528-4400-8033-BF8092ACDEBC}"/>
  </dataValidations>
  <printOptions gridLines="1"/>
  <pageMargins left="0.25" right="0.25" top="0.75" bottom="0.75" header="0.3" footer="0.3"/>
  <pageSetup scale="31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400-000002000000}">
          <x14:formula1>
            <xm:f>'Picklist Tables'!$J$5:$J$13</xm:f>
          </x14:formula1>
          <xm:sqref>F4:F144</xm:sqref>
        </x14:dataValidation>
        <x14:dataValidation type="list" allowBlank="1" showInputMessage="1" showErrorMessage="1" xr:uid="{33FCBA3D-1200-4DCF-B1F4-6CDABC4ABBE7}">
          <x14:formula1>
            <xm:f>'Picklist Tables'!$E$10:$E$13</xm:f>
          </x14:formula1>
          <xm:sqref>U4:U144</xm:sqref>
        </x14:dataValidation>
        <x14:dataValidation type="list" allowBlank="1" showInputMessage="1" showErrorMessage="1" xr:uid="{9446DA12-E196-4646-ADD8-5F7C7464D2C5}">
          <x14:formula1>
            <xm:f>'Picklist Tables'!$E$16:$E$18</xm:f>
          </x14:formula1>
          <xm:sqref>T4:T144</xm:sqref>
        </x14:dataValidation>
        <x14:dataValidation type="list" allowBlank="1" showInputMessage="1" showErrorMessage="1" xr:uid="{129A0DF5-8EE6-4697-AF4F-B08F3FF72FF0}">
          <x14:formula1>
            <xm:f>'Picklist Tables'!$B$15:$B$19</xm:f>
          </x14:formula1>
          <xm:sqref>V4:V79 V81:V144</xm:sqref>
        </x14:dataValidation>
        <x14:dataValidation type="list" allowBlank="1" showInputMessage="1" showErrorMessage="1" xr:uid="{5503C01A-3E4D-4F75-AD7E-AC5C74919986}">
          <x14:formula1>
            <xm:f>'Picklist Tables'!$F$16:$F$18</xm:f>
          </x14:formula1>
          <xm:sqref>G4:G144</xm:sqref>
        </x14:dataValidation>
        <x14:dataValidation type="list" allowBlank="1" showErrorMessage="1" xr:uid="{00000000-0002-0000-0400-000001000000}">
          <x14:formula1>
            <xm:f>'Picklist Tables'!$M$5:$M$7</xm:f>
          </x14:formula1>
          <xm:sqref>E4:E144</xm:sqref>
        </x14:dataValidation>
        <x14:dataValidation type="list" allowBlank="1" showInputMessage="1" showErrorMessage="1" xr:uid="{AA41AB29-900B-48B5-8E0F-1BB2411F8ABB}">
          <x14:formula1>
            <xm:f>'Picklist Tables'!$H$5:$H$6</xm:f>
          </x14:formula1>
          <xm:sqref>B4:B144</xm:sqref>
        </x14:dataValidation>
        <x14:dataValidation type="list" allowBlank="1" showErrorMessage="1" xr:uid="{00000000-0002-0000-0400-000000000000}">
          <x14:formula1>
            <xm:f>'Picklist Tables'!$H$5:$H$6</xm:f>
          </x14:formula1>
          <xm:sqref>W4:X79 W81:X144 X80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2944B-F7C4-468F-BB7E-A8B0D736E998}">
  <sheetPr>
    <pageSetUpPr fitToPage="1"/>
  </sheetPr>
  <dimension ref="A1:AJ86"/>
  <sheetViews>
    <sheetView tabSelected="1" zoomScaleNormal="100" workbookViewId="0">
      <selection activeCell="B2" sqref="B2:S2"/>
    </sheetView>
  </sheetViews>
  <sheetFormatPr defaultColWidth="8.54296875" defaultRowHeight="12.5" x14ac:dyDescent="0.25"/>
  <cols>
    <col min="1" max="1" width="3.81640625" style="108" customWidth="1"/>
    <col min="2" max="2" width="7.81640625" style="108" customWidth="1"/>
    <col min="3" max="3" width="11.453125" style="108" customWidth="1"/>
    <col min="4" max="4" width="8.453125" style="108" customWidth="1"/>
    <col min="5" max="6" width="8.54296875" style="108"/>
    <col min="7" max="7" width="8.54296875" style="108" customWidth="1"/>
    <col min="8" max="8" width="2" style="108" customWidth="1"/>
    <col min="9" max="9" width="8.81640625" style="108" customWidth="1"/>
    <col min="10" max="10" width="10.26953125" style="108" customWidth="1"/>
    <col min="11" max="11" width="8.54296875" style="108"/>
    <col min="12" max="12" width="10.26953125" style="108" customWidth="1"/>
    <col min="13" max="13" width="8.54296875" style="108"/>
    <col min="14" max="14" width="10.26953125" style="108" customWidth="1"/>
    <col min="15" max="15" width="1.81640625" style="108" customWidth="1"/>
    <col min="16" max="16" width="11" style="108" customWidth="1"/>
    <col min="17" max="17" width="10.1796875" style="108" customWidth="1"/>
    <col min="18" max="18" width="10.26953125" style="108" customWidth="1"/>
    <col min="19" max="19" width="11.453125" style="108" customWidth="1"/>
    <col min="20" max="20" width="3.453125" style="108" customWidth="1"/>
    <col min="21" max="21" width="0" style="108" hidden="1" customWidth="1"/>
    <col min="22" max="22" width="11.453125" style="108" hidden="1" customWidth="1"/>
    <col min="23" max="26" width="0" style="108" hidden="1" customWidth="1"/>
    <col min="27" max="27" width="2.54296875" style="108" customWidth="1"/>
    <col min="28" max="28" width="8.54296875" style="108"/>
    <col min="29" max="29" width="10" style="108" customWidth="1"/>
    <col min="30" max="30" width="8.54296875" style="108"/>
    <col min="31" max="31" width="10.54296875" style="108" customWidth="1"/>
    <col min="32" max="32" width="8.54296875" style="108"/>
    <col min="33" max="33" width="11.7265625" style="108" customWidth="1"/>
    <col min="34" max="34" width="11.453125" style="108" customWidth="1"/>
    <col min="35" max="35" width="9.54296875" style="108" customWidth="1"/>
    <col min="36" max="36" width="2.54296875" style="108" customWidth="1"/>
    <col min="37" max="16384" width="8.54296875" style="108"/>
  </cols>
  <sheetData>
    <row r="1" spans="1:36" ht="13" thickBot="1" x14ac:dyDescent="0.3">
      <c r="A1" s="596"/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6"/>
      <c r="AJ1" s="596"/>
    </row>
    <row r="2" spans="1:36" ht="20.5" thickBot="1" x14ac:dyDescent="0.3">
      <c r="A2" s="596"/>
      <c r="B2" s="917" t="s">
        <v>1134</v>
      </c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9"/>
      <c r="T2" s="946"/>
      <c r="U2" s="947"/>
      <c r="V2" s="947"/>
      <c r="W2" s="947"/>
      <c r="X2" s="947"/>
      <c r="Y2" s="947"/>
      <c r="Z2" s="947"/>
      <c r="AA2" s="947"/>
      <c r="AB2" s="947"/>
      <c r="AC2" s="947"/>
      <c r="AD2" s="947"/>
      <c r="AE2" s="947"/>
      <c r="AF2" s="947"/>
      <c r="AG2" s="947"/>
      <c r="AH2" s="947"/>
      <c r="AI2" s="947"/>
      <c r="AJ2" s="948"/>
    </row>
    <row r="3" spans="1:36" ht="20.5" thickBot="1" x14ac:dyDescent="0.3">
      <c r="A3" s="596"/>
      <c r="B3" s="920" t="s">
        <v>693</v>
      </c>
      <c r="C3" s="921"/>
      <c r="D3" s="922"/>
      <c r="E3" s="926" t="s">
        <v>694</v>
      </c>
      <c r="F3" s="921"/>
      <c r="G3" s="922"/>
      <c r="H3" s="926" t="s">
        <v>695</v>
      </c>
      <c r="I3" s="921"/>
      <c r="J3" s="921"/>
      <c r="K3" s="922"/>
      <c r="L3" s="926" t="s">
        <v>696</v>
      </c>
      <c r="M3" s="921"/>
      <c r="N3" s="922"/>
      <c r="O3" s="926" t="s">
        <v>697</v>
      </c>
      <c r="P3" s="921"/>
      <c r="Q3" s="922"/>
      <c r="R3" s="926" t="s">
        <v>698</v>
      </c>
      <c r="S3" s="931"/>
      <c r="T3" s="912"/>
      <c r="U3" s="904" t="s">
        <v>699</v>
      </c>
      <c r="V3" s="905"/>
      <c r="W3" s="905"/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906"/>
      <c r="AJ3" s="790"/>
    </row>
    <row r="4" spans="1:36" ht="21" thickTop="1" thickBot="1" x14ac:dyDescent="0.3">
      <c r="A4" s="596"/>
      <c r="B4" s="923">
        <f>B9+I13+P9</f>
        <v>78</v>
      </c>
      <c r="C4" s="924"/>
      <c r="D4" s="925"/>
      <c r="E4" s="927">
        <f>C9+J13+Q9</f>
        <v>17464.78999999999</v>
      </c>
      <c r="F4" s="928"/>
      <c r="G4" s="929"/>
      <c r="H4" s="930">
        <f>D9+K13+R9</f>
        <v>26</v>
      </c>
      <c r="I4" s="924"/>
      <c r="J4" s="924"/>
      <c r="K4" s="925"/>
      <c r="L4" s="927">
        <f>E9+L13+R9</f>
        <v>7318.06</v>
      </c>
      <c r="M4" s="928"/>
      <c r="N4" s="929"/>
      <c r="O4" s="930">
        <f>F9+M9+M13</f>
        <v>25</v>
      </c>
      <c r="P4" s="924"/>
      <c r="Q4" s="925"/>
      <c r="R4" s="927">
        <f>G9+N9+N13</f>
        <v>4229.5</v>
      </c>
      <c r="S4" s="932"/>
      <c r="T4" s="913"/>
      <c r="U4" s="907" t="s">
        <v>700</v>
      </c>
      <c r="V4" s="908"/>
      <c r="W4" s="908"/>
      <c r="X4" s="908"/>
      <c r="Y4" s="908"/>
      <c r="Z4" s="908"/>
      <c r="AA4" s="908"/>
      <c r="AB4" s="908"/>
      <c r="AC4" s="908"/>
      <c r="AD4" s="908"/>
      <c r="AE4" s="908"/>
      <c r="AF4" s="908"/>
      <c r="AG4" s="908"/>
      <c r="AH4" s="908"/>
      <c r="AI4" s="909"/>
      <c r="AJ4" s="797"/>
    </row>
    <row r="5" spans="1:36" ht="16" thickBot="1" x14ac:dyDescent="0.3">
      <c r="A5" s="596"/>
      <c r="B5" s="881"/>
      <c r="C5" s="882"/>
      <c r="D5" s="882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3"/>
      <c r="T5" s="913"/>
      <c r="U5" s="335"/>
      <c r="V5" s="330"/>
      <c r="W5" s="330"/>
      <c r="X5" s="330"/>
      <c r="Y5" s="330"/>
      <c r="Z5" s="330"/>
      <c r="AA5" s="912"/>
      <c r="AB5" s="910"/>
      <c r="AC5" s="911"/>
      <c r="AD5" s="911"/>
      <c r="AE5" s="911"/>
      <c r="AF5" s="911"/>
      <c r="AG5" s="911"/>
      <c r="AH5" s="911"/>
      <c r="AI5" s="911"/>
      <c r="AJ5" s="797"/>
    </row>
    <row r="6" spans="1:36" ht="16" thickBot="1" x14ac:dyDescent="0.3">
      <c r="A6" s="596"/>
      <c r="B6" s="878" t="s">
        <v>701</v>
      </c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879"/>
      <c r="R6" s="879"/>
      <c r="S6" s="880"/>
      <c r="T6" s="913"/>
      <c r="U6" s="933"/>
      <c r="V6" s="801"/>
      <c r="W6" s="915" t="s">
        <v>167</v>
      </c>
      <c r="X6" s="916"/>
      <c r="Y6" s="915" t="s">
        <v>168</v>
      </c>
      <c r="Z6" s="916"/>
      <c r="AA6" s="913"/>
      <c r="AB6" s="332"/>
      <c r="AC6" s="315"/>
      <c r="AD6" s="902" t="s">
        <v>167</v>
      </c>
      <c r="AE6" s="808"/>
      <c r="AF6" s="902" t="s">
        <v>168</v>
      </c>
      <c r="AG6" s="808"/>
      <c r="AH6" s="902" t="s">
        <v>464</v>
      </c>
      <c r="AI6" s="903"/>
      <c r="AJ6" s="797"/>
    </row>
    <row r="7" spans="1:36" ht="13.5" thickBot="1" x14ac:dyDescent="0.3">
      <c r="A7" s="596"/>
      <c r="B7" s="875" t="s">
        <v>702</v>
      </c>
      <c r="C7" s="876"/>
      <c r="D7" s="876"/>
      <c r="E7" s="876"/>
      <c r="F7" s="876"/>
      <c r="G7" s="877"/>
      <c r="H7" s="304"/>
      <c r="I7" s="888" t="s">
        <v>703</v>
      </c>
      <c r="J7" s="889"/>
      <c r="K7" s="889"/>
      <c r="L7" s="889"/>
      <c r="M7" s="889"/>
      <c r="N7" s="890"/>
      <c r="O7" s="304"/>
      <c r="P7" s="955" t="s">
        <v>704</v>
      </c>
      <c r="Q7" s="956"/>
      <c r="R7" s="956"/>
      <c r="S7" s="957"/>
      <c r="T7" s="913"/>
      <c r="U7" s="934"/>
      <c r="V7" s="793"/>
      <c r="W7" s="325" t="s">
        <v>172</v>
      </c>
      <c r="X7" s="326" t="s">
        <v>173</v>
      </c>
      <c r="Y7" s="325" t="s">
        <v>172</v>
      </c>
      <c r="Z7" s="326" t="s">
        <v>173</v>
      </c>
      <c r="AA7" s="913"/>
      <c r="AB7" s="332"/>
      <c r="AC7" s="315"/>
      <c r="AD7" s="313" t="s">
        <v>172</v>
      </c>
      <c r="AE7" s="313" t="s">
        <v>173</v>
      </c>
      <c r="AF7" s="313" t="s">
        <v>172</v>
      </c>
      <c r="AG7" s="313" t="s">
        <v>173</v>
      </c>
      <c r="AH7" s="313" t="s">
        <v>172</v>
      </c>
      <c r="AI7" s="295" t="s">
        <v>173</v>
      </c>
      <c r="AJ7" s="797"/>
    </row>
    <row r="8" spans="1:36" ht="13.5" thickBot="1" x14ac:dyDescent="0.3">
      <c r="A8" s="596"/>
      <c r="B8" s="122" t="s">
        <v>47</v>
      </c>
      <c r="C8" s="123" t="s">
        <v>173</v>
      </c>
      <c r="D8" s="122" t="s">
        <v>54</v>
      </c>
      <c r="E8" s="123" t="s">
        <v>173</v>
      </c>
      <c r="F8" s="122" t="s">
        <v>464</v>
      </c>
      <c r="G8" s="123" t="s">
        <v>173</v>
      </c>
      <c r="H8" s="303"/>
      <c r="I8" s="149" t="s">
        <v>47</v>
      </c>
      <c r="J8" s="150" t="s">
        <v>173</v>
      </c>
      <c r="K8" s="149" t="s">
        <v>54</v>
      </c>
      <c r="L8" s="150" t="s">
        <v>173</v>
      </c>
      <c r="M8" s="149" t="s">
        <v>464</v>
      </c>
      <c r="N8" s="150" t="s">
        <v>173</v>
      </c>
      <c r="O8" s="303"/>
      <c r="P8" s="126" t="s">
        <v>47</v>
      </c>
      <c r="Q8" s="127" t="s">
        <v>173</v>
      </c>
      <c r="R8" s="126" t="s">
        <v>54</v>
      </c>
      <c r="S8" s="127" t="s">
        <v>173</v>
      </c>
      <c r="T8" s="913"/>
      <c r="U8" s="901" t="s">
        <v>465</v>
      </c>
      <c r="V8" s="322" t="s">
        <v>466</v>
      </c>
      <c r="W8" s="475"/>
      <c r="X8" s="324"/>
      <c r="Y8" s="323"/>
      <c r="Z8" s="324"/>
      <c r="AA8" s="913"/>
      <c r="AB8" s="320" t="s">
        <v>705</v>
      </c>
      <c r="AC8" s="319" t="s">
        <v>475</v>
      </c>
      <c r="AD8" s="476" t="s">
        <v>1</v>
      </c>
      <c r="AE8" s="628" t="s">
        <v>1</v>
      </c>
      <c r="AF8" s="299" t="s">
        <v>1</v>
      </c>
      <c r="AG8" s="628" t="s">
        <v>1</v>
      </c>
      <c r="AH8" s="299">
        <f>'RX Fires'!AC24</f>
        <v>4</v>
      </c>
      <c r="AI8" s="631">
        <f>'RX Fires'!AI24</f>
        <v>1320</v>
      </c>
      <c r="AJ8" s="797"/>
    </row>
    <row r="9" spans="1:36" ht="14" thickTop="1" thickBot="1" x14ac:dyDescent="0.3">
      <c r="A9" s="596"/>
      <c r="B9" s="128">
        <f>'FS-LNF'!AJ7</f>
        <v>47</v>
      </c>
      <c r="C9" s="562">
        <f>'FS-LNF'!AK7</f>
        <v>17414.809999999987</v>
      </c>
      <c r="D9" s="128">
        <f>'FS-LNF'!AJ8</f>
        <v>23</v>
      </c>
      <c r="E9" s="562">
        <f>'FS-LNF'!AK8</f>
        <v>163.86</v>
      </c>
      <c r="F9" s="128">
        <f>'RX Fires'!AC8</f>
        <v>20</v>
      </c>
      <c r="G9" s="562">
        <f>'RX Fires'!AI8</f>
        <v>2908</v>
      </c>
      <c r="H9" s="302"/>
      <c r="I9" s="151" t="s">
        <v>1</v>
      </c>
      <c r="J9" s="152" t="s">
        <v>1</v>
      </c>
      <c r="K9" s="151" t="s">
        <v>1</v>
      </c>
      <c r="L9" s="153" t="s">
        <v>1</v>
      </c>
      <c r="M9" s="151">
        <f>'RX Fires'!AC10</f>
        <v>4</v>
      </c>
      <c r="N9" s="153">
        <f>'RX Fires'!AI10</f>
        <v>1320</v>
      </c>
      <c r="O9" s="302"/>
      <c r="P9" s="130">
        <f>COUNTY!AE7</f>
        <v>4</v>
      </c>
      <c r="Q9" s="565">
        <f>COUNTY!AF7</f>
        <v>32.4</v>
      </c>
      <c r="R9" s="130">
        <f>COUNTY!AE8</f>
        <v>0</v>
      </c>
      <c r="S9" s="565">
        <f>COUNTY!AF8</f>
        <v>0</v>
      </c>
      <c r="T9" s="913"/>
      <c r="U9" s="885"/>
      <c r="V9" s="293" t="s">
        <v>467</v>
      </c>
      <c r="W9" s="299"/>
      <c r="X9" s="300"/>
      <c r="Y9" s="299"/>
      <c r="Z9" s="300"/>
      <c r="AA9" s="913"/>
      <c r="AB9" s="332"/>
      <c r="AC9" s="642"/>
      <c r="AD9" s="642"/>
      <c r="AE9" s="642"/>
      <c r="AF9" s="642"/>
      <c r="AG9" s="642"/>
      <c r="AH9" s="642"/>
      <c r="AI9" s="643"/>
      <c r="AJ9" s="797"/>
    </row>
    <row r="10" spans="1:36" ht="13.5" thickBot="1" x14ac:dyDescent="0.3">
      <c r="A10" s="596"/>
      <c r="B10" s="898" t="s">
        <v>706</v>
      </c>
      <c r="C10" s="899"/>
      <c r="D10" s="899"/>
      <c r="E10" s="899"/>
      <c r="F10" s="899"/>
      <c r="G10" s="900"/>
      <c r="H10" s="376"/>
      <c r="I10" s="376"/>
      <c r="J10" s="376"/>
      <c r="K10" s="376"/>
      <c r="L10" s="376"/>
      <c r="M10" s="376"/>
      <c r="N10" s="376"/>
      <c r="O10" s="303"/>
      <c r="P10" s="952" t="s">
        <v>482</v>
      </c>
      <c r="Q10" s="953"/>
      <c r="R10" s="953"/>
      <c r="S10" s="954"/>
      <c r="T10" s="913"/>
      <c r="U10" s="885"/>
      <c r="V10" s="313" t="s">
        <v>468</v>
      </c>
      <c r="W10" s="296"/>
      <c r="X10" s="297"/>
      <c r="Y10" s="296"/>
      <c r="Z10" s="297"/>
      <c r="AA10" s="913"/>
      <c r="AB10" s="884" t="s">
        <v>707</v>
      </c>
      <c r="AC10" s="319" t="s">
        <v>476</v>
      </c>
      <c r="AD10" s="296">
        <f>'FS-LNF'!AS$19</f>
        <v>23</v>
      </c>
      <c r="AE10" s="627">
        <f>'FS-LNF'!AT$19</f>
        <v>7489.5000000000018</v>
      </c>
      <c r="AF10" s="296">
        <f>'FS-LNF'!AU$19</f>
        <v>16</v>
      </c>
      <c r="AG10" s="627">
        <f>'FS-LNF'!AV$19</f>
        <v>163.01</v>
      </c>
      <c r="AH10" s="296">
        <f>'RX Fires'!AC8</f>
        <v>20</v>
      </c>
      <c r="AI10" s="630">
        <f>'RX Fires'!AI8</f>
        <v>2908</v>
      </c>
      <c r="AJ10" s="797"/>
    </row>
    <row r="11" spans="1:36" ht="13.5" thickBot="1" x14ac:dyDescent="0.3">
      <c r="A11" s="596"/>
      <c r="B11" s="131" t="s">
        <v>47</v>
      </c>
      <c r="C11" s="132" t="s">
        <v>173</v>
      </c>
      <c r="D11" s="131" t="s">
        <v>54</v>
      </c>
      <c r="E11" s="132" t="s">
        <v>173</v>
      </c>
      <c r="F11" s="131" t="s">
        <v>464</v>
      </c>
      <c r="G11" s="132" t="s">
        <v>173</v>
      </c>
      <c r="H11" s="303"/>
      <c r="I11" s="891" t="s">
        <v>708</v>
      </c>
      <c r="J11" s="892"/>
      <c r="K11" s="892"/>
      <c r="L11" s="892"/>
      <c r="M11" s="892"/>
      <c r="N11" s="893"/>
      <c r="O11" s="303"/>
      <c r="P11" s="135" t="s">
        <v>47</v>
      </c>
      <c r="Q11" s="136" t="s">
        <v>173</v>
      </c>
      <c r="R11" s="135" t="s">
        <v>54</v>
      </c>
      <c r="S11" s="136" t="s">
        <v>173</v>
      </c>
      <c r="T11" s="913"/>
      <c r="U11" s="885"/>
      <c r="V11" s="293" t="s">
        <v>469</v>
      </c>
      <c r="W11" s="299"/>
      <c r="X11" s="300"/>
      <c r="Y11" s="299"/>
      <c r="Z11" s="300"/>
      <c r="AA11" s="913"/>
      <c r="AB11" s="885"/>
      <c r="AC11" s="293" t="s">
        <v>475</v>
      </c>
      <c r="AD11" s="299">
        <f>'FS-LNF'!AS$21</f>
        <v>0</v>
      </c>
      <c r="AE11" s="628">
        <f>'FS-LNF'!AT$21</f>
        <v>0</v>
      </c>
      <c r="AF11" s="299">
        <f>'FS-LNF'!AU$21</f>
        <v>0</v>
      </c>
      <c r="AG11" s="628">
        <f>'FS-LNF'!AV$21</f>
        <v>0</v>
      </c>
      <c r="AH11" s="294" t="s">
        <v>1</v>
      </c>
      <c r="AI11" s="631" t="s">
        <v>1</v>
      </c>
      <c r="AJ11" s="797"/>
    </row>
    <row r="12" spans="1:36" ht="14" thickTop="1" thickBot="1" x14ac:dyDescent="0.3">
      <c r="A12" s="596"/>
      <c r="B12" s="137">
        <f>'FS-LNF'!AS7</f>
        <v>3</v>
      </c>
      <c r="C12" s="563">
        <f>'FS-LNF'!AT7</f>
        <v>0.30000000000000004</v>
      </c>
      <c r="D12" s="137">
        <f>'FS-LNF'!AU7</f>
        <v>2</v>
      </c>
      <c r="E12" s="563">
        <f>'FS-LNF'!AV7</f>
        <v>0.2</v>
      </c>
      <c r="F12" s="137">
        <f>'RX Fires'!AC17</f>
        <v>4</v>
      </c>
      <c r="G12" s="563">
        <f>'RX Fires'!AI17</f>
        <v>890</v>
      </c>
      <c r="H12" s="302"/>
      <c r="I12" s="124" t="s">
        <v>47</v>
      </c>
      <c r="J12" s="125" t="s">
        <v>173</v>
      </c>
      <c r="K12" s="124" t="s">
        <v>54</v>
      </c>
      <c r="L12" s="125" t="s">
        <v>173</v>
      </c>
      <c r="M12" s="124" t="s">
        <v>464</v>
      </c>
      <c r="N12" s="125" t="s">
        <v>173</v>
      </c>
      <c r="O12" s="376"/>
      <c r="P12" s="139">
        <f>COUNTY!BI5</f>
        <v>4</v>
      </c>
      <c r="Q12" s="624">
        <f>COUNTY!BJ5</f>
        <v>32.4</v>
      </c>
      <c r="R12" s="139">
        <f>COUNTY!BK5</f>
        <v>0</v>
      </c>
      <c r="S12" s="624">
        <f>COUNTY!BL5</f>
        <v>0</v>
      </c>
      <c r="T12" s="913"/>
      <c r="U12" s="885"/>
      <c r="V12" s="313" t="s">
        <v>471</v>
      </c>
      <c r="W12" s="296"/>
      <c r="X12" s="297"/>
      <c r="Y12" s="296"/>
      <c r="Z12" s="297"/>
      <c r="AA12" s="913"/>
      <c r="AB12" s="885"/>
      <c r="AC12" s="313" t="s">
        <v>466</v>
      </c>
      <c r="AD12" s="296">
        <f>'FS-LNF'!AS$22</f>
        <v>2</v>
      </c>
      <c r="AE12" s="627">
        <f>'FS-LNF'!AT$22</f>
        <v>0.35</v>
      </c>
      <c r="AF12" s="296">
        <f>'FS-LNF'!AU$22</f>
        <v>0</v>
      </c>
      <c r="AG12" s="627">
        <f>'FS-LNF'!AV$22</f>
        <v>0</v>
      </c>
      <c r="AH12" s="298" t="s">
        <v>1</v>
      </c>
      <c r="AI12" s="630" t="s">
        <v>1</v>
      </c>
      <c r="AJ12" s="797"/>
    </row>
    <row r="13" spans="1:36" ht="13.5" thickBot="1" x14ac:dyDescent="0.3">
      <c r="A13" s="596"/>
      <c r="B13" s="937" t="s">
        <v>709</v>
      </c>
      <c r="C13" s="938"/>
      <c r="D13" s="938"/>
      <c r="E13" s="938"/>
      <c r="F13" s="938"/>
      <c r="G13" s="939"/>
      <c r="H13" s="376"/>
      <c r="I13" s="129">
        <f>'MT-SWS'!AJ7</f>
        <v>27</v>
      </c>
      <c r="J13" s="621">
        <f>'MT-SWS'!AK7</f>
        <v>17.580000000000002</v>
      </c>
      <c r="K13" s="129">
        <f>'MT-SWS'!AJ8</f>
        <v>3</v>
      </c>
      <c r="L13" s="621">
        <f>'MT-SWS'!AK8</f>
        <v>7154.2000000000007</v>
      </c>
      <c r="M13" s="129">
        <f>'RX Fires'!AC9</f>
        <v>1</v>
      </c>
      <c r="N13" s="621">
        <f>'RX Fires'!AI9</f>
        <v>1.5</v>
      </c>
      <c r="O13" s="303"/>
      <c r="P13" s="940" t="s">
        <v>710</v>
      </c>
      <c r="Q13" s="941"/>
      <c r="R13" s="941"/>
      <c r="S13" s="942"/>
      <c r="T13" s="913"/>
      <c r="U13" s="885"/>
      <c r="V13" s="293" t="s">
        <v>472</v>
      </c>
      <c r="W13" s="299"/>
      <c r="X13" s="300"/>
      <c r="Y13" s="299"/>
      <c r="Z13" s="300"/>
      <c r="AA13" s="913"/>
      <c r="AB13" s="885"/>
      <c r="AC13" s="293" t="s">
        <v>478</v>
      </c>
      <c r="AD13" s="299">
        <f>'FS-LNF'!AS$23</f>
        <v>0</v>
      </c>
      <c r="AE13" s="628">
        <f>'FS-LNF'!AT$23</f>
        <v>0</v>
      </c>
      <c r="AF13" s="299">
        <f>'FS-LNF'!AU$23</f>
        <v>0</v>
      </c>
      <c r="AG13" s="628">
        <f>'FS-LNF'!AV$23</f>
        <v>0</v>
      </c>
      <c r="AH13" s="294" t="s">
        <v>1</v>
      </c>
      <c r="AI13" s="631" t="s">
        <v>1</v>
      </c>
      <c r="AJ13" s="797"/>
    </row>
    <row r="14" spans="1:36" ht="13.5" thickBot="1" x14ac:dyDescent="0.3">
      <c r="A14" s="596"/>
      <c r="B14" s="140" t="s">
        <v>47</v>
      </c>
      <c r="C14" s="141" t="s">
        <v>173</v>
      </c>
      <c r="D14" s="140" t="s">
        <v>54</v>
      </c>
      <c r="E14" s="141" t="s">
        <v>173</v>
      </c>
      <c r="F14" s="140" t="s">
        <v>464</v>
      </c>
      <c r="G14" s="141" t="s">
        <v>173</v>
      </c>
      <c r="H14" s="303"/>
      <c r="I14" s="943" t="s">
        <v>711</v>
      </c>
      <c r="J14" s="944"/>
      <c r="K14" s="944"/>
      <c r="L14" s="944"/>
      <c r="M14" s="944"/>
      <c r="N14" s="945"/>
      <c r="O14" s="303"/>
      <c r="P14" s="144" t="s">
        <v>47</v>
      </c>
      <c r="Q14" s="145" t="s">
        <v>173</v>
      </c>
      <c r="R14" s="144" t="s">
        <v>54</v>
      </c>
      <c r="S14" s="145" t="s">
        <v>173</v>
      </c>
      <c r="T14" s="913"/>
      <c r="U14" s="885"/>
      <c r="V14" s="313" t="s">
        <v>473</v>
      </c>
      <c r="W14" s="296"/>
      <c r="X14" s="297"/>
      <c r="Y14" s="296"/>
      <c r="Z14" s="297"/>
      <c r="AA14" s="913"/>
      <c r="AB14" s="885"/>
      <c r="AC14" s="313" t="s">
        <v>467</v>
      </c>
      <c r="AD14" s="296">
        <f>'FS-LNF'!AS$24</f>
        <v>0</v>
      </c>
      <c r="AE14" s="627">
        <f>'FS-LNF'!AT$24</f>
        <v>0</v>
      </c>
      <c r="AF14" s="296">
        <f>'FS-LNF'!AU$24</f>
        <v>0</v>
      </c>
      <c r="AG14" s="627">
        <f>'FS-LNF'!AV$24</f>
        <v>0</v>
      </c>
      <c r="AH14" s="298" t="s">
        <v>1</v>
      </c>
      <c r="AI14" s="630" t="s">
        <v>1</v>
      </c>
      <c r="AJ14" s="797"/>
    </row>
    <row r="15" spans="1:36" ht="14" thickTop="1" thickBot="1" x14ac:dyDescent="0.3">
      <c r="A15" s="596"/>
      <c r="B15" s="146">
        <f>'FS-LNF'!AS$8</f>
        <v>10</v>
      </c>
      <c r="C15" s="564">
        <f>'FS-LNF'!AT$8</f>
        <v>3.6000000000000005</v>
      </c>
      <c r="D15" s="146">
        <f>'FS-LNF'!AU$8</f>
        <v>5</v>
      </c>
      <c r="E15" s="564">
        <f>'FS-LNF'!AV$8</f>
        <v>159.05000000000001</v>
      </c>
      <c r="F15" s="146">
        <f>'RX Fires'!AC18</f>
        <v>2</v>
      </c>
      <c r="G15" s="564">
        <f>'RX Fires'!AI18</f>
        <v>410</v>
      </c>
      <c r="H15" s="302"/>
      <c r="I15" s="133" t="s">
        <v>47</v>
      </c>
      <c r="J15" s="134" t="s">
        <v>173</v>
      </c>
      <c r="K15" s="133" t="s">
        <v>54</v>
      </c>
      <c r="L15" s="134" t="s">
        <v>173</v>
      </c>
      <c r="M15" s="133" t="s">
        <v>464</v>
      </c>
      <c r="N15" s="134" t="s">
        <v>173</v>
      </c>
      <c r="O15" s="376"/>
      <c r="P15" s="148">
        <f>COUNTY!BI$29</f>
        <v>0</v>
      </c>
      <c r="Q15" s="625">
        <f>COUNTY!BJ$29</f>
        <v>0</v>
      </c>
      <c r="R15" s="148">
        <f>COUNTY!BK$29</f>
        <v>0</v>
      </c>
      <c r="S15" s="625">
        <f>COUNTY!BL$29</f>
        <v>0</v>
      </c>
      <c r="T15" s="913"/>
      <c r="U15" s="885"/>
      <c r="V15" s="293" t="s">
        <v>474</v>
      </c>
      <c r="W15" s="299"/>
      <c r="X15" s="300"/>
      <c r="Y15" s="299"/>
      <c r="Z15" s="300"/>
      <c r="AA15" s="913"/>
      <c r="AB15" s="885"/>
      <c r="AC15" s="293" t="s">
        <v>468</v>
      </c>
      <c r="AD15" s="299">
        <f>'FS-LNF'!AS$25</f>
        <v>0</v>
      </c>
      <c r="AE15" s="628">
        <f>'FS-LNF'!AT$25</f>
        <v>0</v>
      </c>
      <c r="AF15" s="299">
        <f>'FS-LNF'!AU$25</f>
        <v>0</v>
      </c>
      <c r="AG15" s="628">
        <f>'FS-LNF'!AV$25</f>
        <v>0</v>
      </c>
      <c r="AH15" s="294" t="s">
        <v>1</v>
      </c>
      <c r="AI15" s="631" t="s">
        <v>1</v>
      </c>
      <c r="AJ15" s="797"/>
    </row>
    <row r="16" spans="1:36" ht="13.5" thickBot="1" x14ac:dyDescent="0.3">
      <c r="A16" s="596"/>
      <c r="B16" s="898" t="s">
        <v>712</v>
      </c>
      <c r="C16" s="899"/>
      <c r="D16" s="899"/>
      <c r="E16" s="899"/>
      <c r="F16" s="899"/>
      <c r="G16" s="900"/>
      <c r="H16" s="376"/>
      <c r="I16" s="138">
        <f>'MT-SWS'!AS$7</f>
        <v>21</v>
      </c>
      <c r="J16" s="622">
        <f>'MT-SWS'!AT$7</f>
        <v>16.830000000000002</v>
      </c>
      <c r="K16" s="138">
        <f>'MT-SWS'!AU$7</f>
        <v>1</v>
      </c>
      <c r="L16" s="622">
        <f>'MT-SWS'!AV$7</f>
        <v>0.1</v>
      </c>
      <c r="M16" s="138">
        <f>'RX Fires'!AC22</f>
        <v>0</v>
      </c>
      <c r="N16" s="622">
        <f>'RX Fires'!AI22</f>
        <v>0</v>
      </c>
      <c r="O16" s="376"/>
      <c r="P16" s="952" t="s">
        <v>713</v>
      </c>
      <c r="Q16" s="953"/>
      <c r="R16" s="953"/>
      <c r="S16" s="954"/>
      <c r="T16" s="913"/>
      <c r="U16" s="885"/>
      <c r="V16" s="313" t="s">
        <v>475</v>
      </c>
      <c r="W16" s="296"/>
      <c r="X16" s="297"/>
      <c r="Y16" s="296"/>
      <c r="Z16" s="297"/>
      <c r="AA16" s="913"/>
      <c r="AB16" s="885"/>
      <c r="AC16" s="313" t="s">
        <v>469</v>
      </c>
      <c r="AD16" s="296">
        <f>'FS-LNF'!AS$26</f>
        <v>0</v>
      </c>
      <c r="AE16" s="627">
        <f>'FS-LNF'!AT$26</f>
        <v>0</v>
      </c>
      <c r="AF16" s="296">
        <f>'FS-LNF'!AU$26</f>
        <v>0</v>
      </c>
      <c r="AG16" s="627">
        <f>'FS-LNF'!AV$26</f>
        <v>0</v>
      </c>
      <c r="AH16" s="298" t="s">
        <v>1</v>
      </c>
      <c r="AI16" s="630" t="s">
        <v>1</v>
      </c>
      <c r="AJ16" s="797"/>
    </row>
    <row r="17" spans="1:36" ht="13.5" thickBot="1" x14ac:dyDescent="0.3">
      <c r="A17" s="596"/>
      <c r="B17" s="131" t="s">
        <v>47</v>
      </c>
      <c r="C17" s="132" t="s">
        <v>173</v>
      </c>
      <c r="D17" s="131" t="s">
        <v>54</v>
      </c>
      <c r="E17" s="132" t="s">
        <v>173</v>
      </c>
      <c r="F17" s="131" t="s">
        <v>464</v>
      </c>
      <c r="G17" s="132" t="s">
        <v>173</v>
      </c>
      <c r="H17" s="303"/>
      <c r="I17" s="949" t="s">
        <v>714</v>
      </c>
      <c r="J17" s="950"/>
      <c r="K17" s="950"/>
      <c r="L17" s="950"/>
      <c r="M17" s="950"/>
      <c r="N17" s="951"/>
      <c r="O17" s="376"/>
      <c r="P17" s="135" t="s">
        <v>47</v>
      </c>
      <c r="Q17" s="136" t="s">
        <v>173</v>
      </c>
      <c r="R17" s="135" t="s">
        <v>54</v>
      </c>
      <c r="S17" s="136" t="s">
        <v>173</v>
      </c>
      <c r="T17" s="913"/>
      <c r="U17" s="885"/>
      <c r="V17" s="293" t="s">
        <v>476</v>
      </c>
      <c r="W17" s="299"/>
      <c r="X17" s="300"/>
      <c r="Y17" s="299"/>
      <c r="Z17" s="300"/>
      <c r="AA17" s="913"/>
      <c r="AB17" s="885"/>
      <c r="AC17" s="293" t="s">
        <v>471</v>
      </c>
      <c r="AD17" s="299">
        <f>'FS-LNF'!AS$27</f>
        <v>0</v>
      </c>
      <c r="AE17" s="628">
        <f>'FS-LNF'!AT$27</f>
        <v>0</v>
      </c>
      <c r="AF17" s="299">
        <f>'FS-LNF'!AU$27</f>
        <v>0</v>
      </c>
      <c r="AG17" s="628">
        <f>'FS-LNF'!AV$27</f>
        <v>0</v>
      </c>
      <c r="AH17" s="294" t="s">
        <v>1</v>
      </c>
      <c r="AI17" s="631" t="s">
        <v>1</v>
      </c>
      <c r="AJ17" s="797"/>
    </row>
    <row r="18" spans="1:36" ht="14" thickTop="1" thickBot="1" x14ac:dyDescent="0.3">
      <c r="A18" s="596"/>
      <c r="B18" s="137">
        <f>'FS-LNF'!AS$9</f>
        <v>14</v>
      </c>
      <c r="C18" s="563">
        <f>'FS-LNF'!AT$9</f>
        <v>17359.849999999999</v>
      </c>
      <c r="D18" s="137">
        <f>'FS-LNF'!AU$9</f>
        <v>8</v>
      </c>
      <c r="E18" s="563">
        <f>'FS-LNF'!AV$9</f>
        <v>3.61</v>
      </c>
      <c r="F18" s="137">
        <f>'RX Fires'!AC19</f>
        <v>3</v>
      </c>
      <c r="G18" s="563">
        <f>'RX Fires'!AI19</f>
        <v>443</v>
      </c>
      <c r="H18" s="302"/>
      <c r="I18" s="142" t="s">
        <v>47</v>
      </c>
      <c r="J18" s="143" t="s">
        <v>173</v>
      </c>
      <c r="K18" s="142" t="s">
        <v>54</v>
      </c>
      <c r="L18" s="143" t="s">
        <v>173</v>
      </c>
      <c r="M18" s="142" t="s">
        <v>464</v>
      </c>
      <c r="N18" s="143" t="s">
        <v>173</v>
      </c>
      <c r="O18" s="376"/>
      <c r="P18" s="139">
        <f>COUNTY!BI$53</f>
        <v>0</v>
      </c>
      <c r="Q18" s="626">
        <f>COUNTY!BJ$53</f>
        <v>0</v>
      </c>
      <c r="R18" s="139">
        <f>COUNTY!BK$53</f>
        <v>0</v>
      </c>
      <c r="S18" s="626">
        <f>COUNTY!BL$53</f>
        <v>0</v>
      </c>
      <c r="T18" s="913"/>
      <c r="U18" s="886"/>
      <c r="V18" s="313" t="s">
        <v>477</v>
      </c>
      <c r="W18" s="296"/>
      <c r="X18" s="297"/>
      <c r="Y18" s="296"/>
      <c r="Z18" s="297"/>
      <c r="AA18" s="913"/>
      <c r="AB18" s="885"/>
      <c r="AC18" s="313" t="s">
        <v>472</v>
      </c>
      <c r="AD18" s="296">
        <f>'FS-LNF'!AS$28</f>
        <v>8</v>
      </c>
      <c r="AE18" s="627">
        <f>'FS-LNF'!AT$28</f>
        <v>8275.5500000000011</v>
      </c>
      <c r="AF18" s="296">
        <f>'FS-LNF'!AU$28</f>
        <v>4</v>
      </c>
      <c r="AG18" s="627">
        <f>'FS-LNF'!AV$28</f>
        <v>0.4</v>
      </c>
      <c r="AH18" s="298" t="s">
        <v>1</v>
      </c>
      <c r="AI18" s="630" t="s">
        <v>1</v>
      </c>
      <c r="AJ18" s="797"/>
    </row>
    <row r="19" spans="1:36" ht="13.5" thickBot="1" x14ac:dyDescent="0.3">
      <c r="A19" s="596"/>
      <c r="B19" s="937" t="s">
        <v>715</v>
      </c>
      <c r="C19" s="938"/>
      <c r="D19" s="938"/>
      <c r="E19" s="938"/>
      <c r="F19" s="938"/>
      <c r="G19" s="939"/>
      <c r="H19" s="376"/>
      <c r="I19" s="147">
        <f>'MT-SWS'!AS$8</f>
        <v>6</v>
      </c>
      <c r="J19" s="623">
        <f>'MT-SWS'!AT$8</f>
        <v>0.75</v>
      </c>
      <c r="K19" s="147">
        <f>'MT-SWS'!AU$8</f>
        <v>2</v>
      </c>
      <c r="L19" s="623">
        <f>'MT-SWS'!AV$8</f>
        <v>7154.1</v>
      </c>
      <c r="M19" s="147">
        <f>'RX Fires'!AC23</f>
        <v>1</v>
      </c>
      <c r="N19" s="623">
        <f>'RX Fires'!AI23</f>
        <v>1.5</v>
      </c>
      <c r="O19" s="376"/>
      <c r="P19" s="940" t="s">
        <v>716</v>
      </c>
      <c r="Q19" s="941"/>
      <c r="R19" s="941"/>
      <c r="S19" s="942"/>
      <c r="T19" s="913"/>
      <c r="U19" s="336"/>
      <c r="V19" s="314"/>
      <c r="W19" s="308"/>
      <c r="X19" s="327"/>
      <c r="Y19" s="308"/>
      <c r="Z19" s="327"/>
      <c r="AA19" s="913"/>
      <c r="AB19" s="885"/>
      <c r="AC19" s="293" t="s">
        <v>473</v>
      </c>
      <c r="AD19" s="299">
        <f>'FS-LNF'!AS$29</f>
        <v>0</v>
      </c>
      <c r="AE19" s="628">
        <f>'FS-LNF'!AT$29</f>
        <v>0</v>
      </c>
      <c r="AF19" s="299">
        <f>'FS-LNF'!AU$29</f>
        <v>0</v>
      </c>
      <c r="AG19" s="628">
        <f>'FS-LNF'!AV$29</f>
        <v>0</v>
      </c>
      <c r="AH19" s="294" t="s">
        <v>1</v>
      </c>
      <c r="AI19" s="631" t="s">
        <v>1</v>
      </c>
      <c r="AJ19" s="797"/>
    </row>
    <row r="20" spans="1:36" ht="13.5" thickBot="1" x14ac:dyDescent="0.3">
      <c r="A20" s="596"/>
      <c r="B20" s="140" t="s">
        <v>47</v>
      </c>
      <c r="C20" s="141" t="s">
        <v>173</v>
      </c>
      <c r="D20" s="140" t="s">
        <v>54</v>
      </c>
      <c r="E20" s="141" t="s">
        <v>173</v>
      </c>
      <c r="F20" s="140" t="s">
        <v>464</v>
      </c>
      <c r="G20" s="141" t="s">
        <v>173</v>
      </c>
      <c r="H20" s="303"/>
      <c r="I20" s="897"/>
      <c r="J20" s="897"/>
      <c r="K20" s="897"/>
      <c r="L20" s="897"/>
      <c r="M20" s="897"/>
      <c r="N20" s="897"/>
      <c r="O20" s="303"/>
      <c r="P20" s="144" t="s">
        <v>47</v>
      </c>
      <c r="Q20" s="145" t="s">
        <v>173</v>
      </c>
      <c r="R20" s="144" t="s">
        <v>54</v>
      </c>
      <c r="S20" s="145" t="s">
        <v>173</v>
      </c>
      <c r="T20" s="913"/>
      <c r="U20" s="884" t="s">
        <v>465</v>
      </c>
      <c r="V20" s="319" t="s">
        <v>478</v>
      </c>
      <c r="W20" s="296"/>
      <c r="X20" s="297"/>
      <c r="Y20" s="296"/>
      <c r="Z20" s="297"/>
      <c r="AA20" s="913"/>
      <c r="AB20" s="885"/>
      <c r="AC20" s="313" t="s">
        <v>474</v>
      </c>
      <c r="AD20" s="296">
        <f>'FS-LNF'!AS$30</f>
        <v>8</v>
      </c>
      <c r="AE20" s="627">
        <f>'FS-LNF'!AT$30</f>
        <v>2.7000000000000006</v>
      </c>
      <c r="AF20" s="296">
        <f>'FS-LNF'!AU$30</f>
        <v>1</v>
      </c>
      <c r="AG20" s="627">
        <f>'FS-LNF'!AV$30</f>
        <v>0.1</v>
      </c>
      <c r="AH20" s="298" t="s">
        <v>1</v>
      </c>
      <c r="AI20" s="630" t="s">
        <v>1</v>
      </c>
      <c r="AJ20" s="797"/>
    </row>
    <row r="21" spans="1:36" ht="14" thickTop="1" thickBot="1" x14ac:dyDescent="0.3">
      <c r="A21" s="596"/>
      <c r="B21" s="146">
        <f>'FS-LNF'!AS$10</f>
        <v>2</v>
      </c>
      <c r="C21" s="564">
        <f>'FS-LNF'!AT$10</f>
        <v>0.2</v>
      </c>
      <c r="D21" s="146">
        <f>'FS-LNF'!AU$10</f>
        <v>0</v>
      </c>
      <c r="E21" s="564">
        <f>'FS-LNF'!AV$10</f>
        <v>0</v>
      </c>
      <c r="F21" s="146">
        <f>'RX Fires'!AC$20</f>
        <v>3</v>
      </c>
      <c r="G21" s="564">
        <f>'RX Fires'!AI$20</f>
        <v>224</v>
      </c>
      <c r="H21" s="302"/>
      <c r="I21" s="645"/>
      <c r="J21" s="645"/>
      <c r="K21" s="645"/>
      <c r="L21" s="645"/>
      <c r="M21" s="645"/>
      <c r="N21" s="645"/>
      <c r="O21" s="303"/>
      <c r="P21" s="148">
        <f>COUNTY!BO$5</f>
        <v>0</v>
      </c>
      <c r="Q21" s="625">
        <f>COUNTY!BP$5</f>
        <v>0</v>
      </c>
      <c r="R21" s="148">
        <f>COUNTY!BQ$5</f>
        <v>0</v>
      </c>
      <c r="S21" s="625">
        <f>COUNTY!BR$5</f>
        <v>0</v>
      </c>
      <c r="T21" s="913"/>
      <c r="U21" s="885"/>
      <c r="V21" s="293" t="s">
        <v>467</v>
      </c>
      <c r="W21" s="299"/>
      <c r="X21" s="300"/>
      <c r="Y21" s="299"/>
      <c r="Z21" s="300"/>
      <c r="AA21" s="913"/>
      <c r="AB21" s="885"/>
      <c r="AC21" s="293" t="s">
        <v>477</v>
      </c>
      <c r="AD21" s="299">
        <f>'FS-LNF'!AS$20</f>
        <v>6</v>
      </c>
      <c r="AE21" s="628">
        <f>'FS-LNF'!AT$20</f>
        <v>21.71</v>
      </c>
      <c r="AF21" s="299">
        <f>'FS-LNF'!AU$20</f>
        <v>2</v>
      </c>
      <c r="AG21" s="628">
        <f>'FS-LNF'!AV$20</f>
        <v>0.35</v>
      </c>
      <c r="AH21" s="294" t="s">
        <v>1</v>
      </c>
      <c r="AI21" s="631" t="s">
        <v>1</v>
      </c>
      <c r="AJ21" s="797"/>
    </row>
    <row r="22" spans="1:36" ht="13.5" thickBot="1" x14ac:dyDescent="0.3">
      <c r="A22" s="596"/>
      <c r="B22" s="898" t="s">
        <v>717</v>
      </c>
      <c r="C22" s="899"/>
      <c r="D22" s="899"/>
      <c r="E22" s="899"/>
      <c r="F22" s="899"/>
      <c r="G22" s="900"/>
      <c r="H22" s="376"/>
      <c r="I22" s="301"/>
      <c r="J22" s="302"/>
      <c r="K22" s="301"/>
      <c r="L22" s="302"/>
      <c r="M22" s="301"/>
      <c r="N22" s="302"/>
      <c r="O22" s="302"/>
      <c r="P22" s="952" t="s">
        <v>718</v>
      </c>
      <c r="Q22" s="953"/>
      <c r="R22" s="953"/>
      <c r="S22" s="954"/>
      <c r="T22" s="913"/>
      <c r="U22" s="885"/>
      <c r="V22" s="313" t="s">
        <v>471</v>
      </c>
      <c r="W22" s="296"/>
      <c r="X22" s="297"/>
      <c r="Y22" s="296"/>
      <c r="Z22" s="297"/>
      <c r="AA22" s="913"/>
      <c r="AB22" s="885"/>
      <c r="AC22" s="313" t="s">
        <v>719</v>
      </c>
      <c r="AD22" s="296" t="str">
        <f>'FS-LNF'!AS$32</f>
        <v>-</v>
      </c>
      <c r="AE22" s="627">
        <f>'FS-LNF'!AT$32</f>
        <v>0</v>
      </c>
      <c r="AF22" s="296" t="str">
        <f>'FS-LNF'!AU$32</f>
        <v>-</v>
      </c>
      <c r="AG22" s="627">
        <f>'FS-LNF'!AV$32</f>
        <v>0</v>
      </c>
      <c r="AH22" s="317" t="s">
        <v>1</v>
      </c>
      <c r="AI22" s="632" t="s">
        <v>1</v>
      </c>
      <c r="AJ22" s="797"/>
    </row>
    <row r="23" spans="1:36" ht="13.5" thickBot="1" x14ac:dyDescent="0.3">
      <c r="A23" s="596"/>
      <c r="B23" s="131" t="s">
        <v>47</v>
      </c>
      <c r="C23" s="132" t="s">
        <v>173</v>
      </c>
      <c r="D23" s="131" t="s">
        <v>54</v>
      </c>
      <c r="E23" s="132" t="s">
        <v>173</v>
      </c>
      <c r="F23" s="131" t="s">
        <v>464</v>
      </c>
      <c r="G23" s="132" t="s">
        <v>173</v>
      </c>
      <c r="H23" s="303"/>
      <c r="I23" s="895"/>
      <c r="J23" s="895"/>
      <c r="K23" s="895"/>
      <c r="L23" s="895"/>
      <c r="M23" s="895"/>
      <c r="N23" s="895"/>
      <c r="O23" s="301"/>
      <c r="P23" s="135" t="s">
        <v>47</v>
      </c>
      <c r="Q23" s="136" t="s">
        <v>173</v>
      </c>
      <c r="R23" s="135" t="s">
        <v>54</v>
      </c>
      <c r="S23" s="136" t="s">
        <v>173</v>
      </c>
      <c r="T23" s="913"/>
      <c r="U23" s="885"/>
      <c r="V23" s="293" t="s">
        <v>475</v>
      </c>
      <c r="W23" s="299"/>
      <c r="X23" s="300"/>
      <c r="Y23" s="299"/>
      <c r="Z23" s="300"/>
      <c r="AA23" s="913"/>
      <c r="AB23" s="885"/>
      <c r="AC23" s="293" t="s">
        <v>720</v>
      </c>
      <c r="AD23" s="299" t="str">
        <f>'FS-LNF'!AS$33</f>
        <v>-</v>
      </c>
      <c r="AE23" s="628">
        <f>'FS-LNF'!AT$33</f>
        <v>0</v>
      </c>
      <c r="AF23" s="299" t="str">
        <f>'FS-LNF'!AU$33</f>
        <v>-</v>
      </c>
      <c r="AG23" s="628">
        <f>'FS-LNF'!AV$33</f>
        <v>0</v>
      </c>
      <c r="AH23" s="316" t="s">
        <v>1</v>
      </c>
      <c r="AI23" s="633" t="s">
        <v>1</v>
      </c>
      <c r="AJ23" s="797"/>
    </row>
    <row r="24" spans="1:36" ht="14" thickTop="1" thickBot="1" x14ac:dyDescent="0.3">
      <c r="A24" s="596"/>
      <c r="B24" s="137">
        <f>'FS-LNF'!AS$11</f>
        <v>18</v>
      </c>
      <c r="C24" s="563">
        <f>'FS-LNF'!AT$11</f>
        <v>50.860000000000014</v>
      </c>
      <c r="D24" s="137">
        <f>'FS-LNF'!AU$11</f>
        <v>8</v>
      </c>
      <c r="E24" s="563">
        <f>'FS-LNF'!AV$11</f>
        <v>0.99999999999999989</v>
      </c>
      <c r="F24" s="137">
        <f>'RX Fires'!AC$21</f>
        <v>8</v>
      </c>
      <c r="G24" s="563">
        <f>'RX Fires'!AI$21</f>
        <v>941</v>
      </c>
      <c r="H24" s="302"/>
      <c r="I24" s="645"/>
      <c r="J24" s="645"/>
      <c r="K24" s="645"/>
      <c r="L24" s="645"/>
      <c r="M24" s="645"/>
      <c r="N24" s="645"/>
      <c r="O24" s="301"/>
      <c r="P24" s="139">
        <f>COUNTY!BO$29</f>
        <v>0</v>
      </c>
      <c r="Q24" s="626">
        <f>COUNTY!BP$29</f>
        <v>0</v>
      </c>
      <c r="R24" s="139">
        <f>COUNTY!BQ$29</f>
        <v>0</v>
      </c>
      <c r="S24" s="626">
        <f>COUNTY!BR$29</f>
        <v>0</v>
      </c>
      <c r="T24" s="913"/>
      <c r="U24" s="885"/>
      <c r="V24" s="313" t="s">
        <v>476</v>
      </c>
      <c r="W24" s="296"/>
      <c r="X24" s="297"/>
      <c r="Y24" s="296"/>
      <c r="Z24" s="297"/>
      <c r="AA24" s="913"/>
      <c r="AB24" s="885"/>
      <c r="AC24" s="313" t="s">
        <v>721</v>
      </c>
      <c r="AD24" s="296" t="str">
        <f>'FS-LNF'!AS$34</f>
        <v>-</v>
      </c>
      <c r="AE24" s="627">
        <f>'FS-LNF'!AT$34</f>
        <v>0</v>
      </c>
      <c r="AF24" s="296" t="str">
        <f>'FS-LNF'!AU$34</f>
        <v>-</v>
      </c>
      <c r="AG24" s="627">
        <f>'FS-LNF'!AV$34</f>
        <v>0</v>
      </c>
      <c r="AH24" s="317" t="s">
        <v>1</v>
      </c>
      <c r="AI24" s="632" t="s">
        <v>1</v>
      </c>
      <c r="AJ24" s="797"/>
    </row>
    <row r="25" spans="1:36" ht="13.5" thickBot="1" x14ac:dyDescent="0.3">
      <c r="A25" s="596"/>
      <c r="B25" s="896"/>
      <c r="C25" s="897"/>
      <c r="D25" s="897"/>
      <c r="E25" s="897"/>
      <c r="F25" s="897"/>
      <c r="G25" s="897"/>
      <c r="H25" s="301"/>
      <c r="I25" s="301"/>
      <c r="J25" s="302"/>
      <c r="K25" s="301"/>
      <c r="L25" s="302"/>
      <c r="M25" s="301"/>
      <c r="N25" s="302"/>
      <c r="O25" s="301"/>
      <c r="P25" s="940" t="s">
        <v>722</v>
      </c>
      <c r="Q25" s="941"/>
      <c r="R25" s="941"/>
      <c r="S25" s="942"/>
      <c r="T25" s="913"/>
      <c r="U25" s="886"/>
      <c r="V25" s="293" t="s">
        <v>477</v>
      </c>
      <c r="W25" s="299"/>
      <c r="X25" s="300"/>
      <c r="Y25" s="299"/>
      <c r="Z25" s="300"/>
      <c r="AA25" s="913"/>
      <c r="AB25" s="885"/>
      <c r="AC25" s="293" t="s">
        <v>723</v>
      </c>
      <c r="AD25" s="299" t="str">
        <f>'FS-LNF'!AS$35</f>
        <v>-</v>
      </c>
      <c r="AE25" s="628">
        <f>'FS-LNF'!AT$35</f>
        <v>0</v>
      </c>
      <c r="AF25" s="299" t="str">
        <f>'FS-LNF'!AU$35</f>
        <v>-</v>
      </c>
      <c r="AG25" s="628">
        <f>'FS-LNF'!AV$35</f>
        <v>0</v>
      </c>
      <c r="AH25" s="316" t="s">
        <v>1</v>
      </c>
      <c r="AI25" s="633" t="s">
        <v>1</v>
      </c>
      <c r="AJ25" s="797"/>
    </row>
    <row r="26" spans="1:36" ht="13.5" thickBot="1" x14ac:dyDescent="0.3">
      <c r="A26" s="596"/>
      <c r="B26" s="644"/>
      <c r="C26" s="645"/>
      <c r="D26" s="645"/>
      <c r="E26" s="645"/>
      <c r="F26" s="645"/>
      <c r="G26" s="645"/>
      <c r="H26" s="301"/>
      <c r="I26" s="895"/>
      <c r="J26" s="895"/>
      <c r="K26" s="895"/>
      <c r="L26" s="895"/>
      <c r="M26" s="895"/>
      <c r="N26" s="895"/>
      <c r="O26" s="301"/>
      <c r="P26" s="144" t="s">
        <v>47</v>
      </c>
      <c r="Q26" s="145" t="s">
        <v>173</v>
      </c>
      <c r="R26" s="144" t="s">
        <v>54</v>
      </c>
      <c r="S26" s="145" t="s">
        <v>173</v>
      </c>
      <c r="T26" s="913"/>
      <c r="U26" s="887"/>
      <c r="V26" s="796"/>
      <c r="W26" s="796"/>
      <c r="X26" s="796"/>
      <c r="Y26" s="796"/>
      <c r="Z26" s="796"/>
      <c r="AA26" s="913"/>
      <c r="AB26" s="885"/>
      <c r="AC26" s="313" t="s">
        <v>724</v>
      </c>
      <c r="AD26" s="296" t="str">
        <f>'FS-LNF'!AS$36</f>
        <v>-</v>
      </c>
      <c r="AE26" s="627">
        <f>'FS-LNF'!AT$36</f>
        <v>0</v>
      </c>
      <c r="AF26" s="296" t="str">
        <f>'FS-LNF'!AU$36</f>
        <v>-</v>
      </c>
      <c r="AG26" s="627">
        <f>'FS-LNF'!AV$36</f>
        <v>0</v>
      </c>
      <c r="AH26" s="317" t="s">
        <v>1</v>
      </c>
      <c r="AI26" s="632" t="s">
        <v>1</v>
      </c>
      <c r="AJ26" s="797"/>
    </row>
    <row r="27" spans="1:36" ht="14" thickTop="1" thickBot="1" x14ac:dyDescent="0.3">
      <c r="A27" s="596"/>
      <c r="B27" s="337"/>
      <c r="C27" s="302"/>
      <c r="D27" s="301"/>
      <c r="E27" s="302"/>
      <c r="F27" s="301"/>
      <c r="G27" s="302"/>
      <c r="H27" s="376"/>
      <c r="I27" s="645"/>
      <c r="J27" s="645"/>
      <c r="K27" s="645"/>
      <c r="L27" s="645"/>
      <c r="M27" s="645"/>
      <c r="N27" s="645"/>
      <c r="O27" s="376"/>
      <c r="P27" s="148">
        <f>COUNTY!BO$53</f>
        <v>0</v>
      </c>
      <c r="Q27" s="625">
        <f>COUNTY!BP$53</f>
        <v>0</v>
      </c>
      <c r="R27" s="148">
        <f>COUNTY!BQ$53</f>
        <v>0</v>
      </c>
      <c r="S27" s="625">
        <f>COUNTY!BR$53</f>
        <v>0</v>
      </c>
      <c r="T27" s="913"/>
      <c r="U27" s="884" t="s">
        <v>465</v>
      </c>
      <c r="V27" s="319" t="s">
        <v>467</v>
      </c>
      <c r="W27" s="296"/>
      <c r="X27" s="297"/>
      <c r="Y27" s="296"/>
      <c r="Z27" s="297"/>
      <c r="AA27" s="913"/>
      <c r="AB27" s="885"/>
      <c r="AC27" s="293" t="s">
        <v>725</v>
      </c>
      <c r="AD27" s="299" t="str">
        <f>'FS-LNF'!AS$37</f>
        <v>-</v>
      </c>
      <c r="AE27" s="628">
        <f>'FS-LNF'!AT$37</f>
        <v>0</v>
      </c>
      <c r="AF27" s="299" t="str">
        <f>'FS-LNF'!AU$37</f>
        <v>-</v>
      </c>
      <c r="AG27" s="628">
        <f>'FS-LNF'!AV$37</f>
        <v>0</v>
      </c>
      <c r="AH27" s="316" t="s">
        <v>1</v>
      </c>
      <c r="AI27" s="633" t="s">
        <v>1</v>
      </c>
      <c r="AJ27" s="797"/>
    </row>
    <row r="28" spans="1:36" ht="13.5" thickBot="1" x14ac:dyDescent="0.3">
      <c r="A28" s="596"/>
      <c r="B28" s="894"/>
      <c r="C28" s="895"/>
      <c r="D28" s="895"/>
      <c r="E28" s="895"/>
      <c r="F28" s="895"/>
      <c r="G28" s="895"/>
      <c r="H28" s="301"/>
      <c r="I28" s="301"/>
      <c r="J28" s="302"/>
      <c r="K28" s="301"/>
      <c r="L28" s="302"/>
      <c r="M28" s="301"/>
      <c r="N28" s="302"/>
      <c r="O28" s="302"/>
      <c r="P28" s="952" t="s">
        <v>726</v>
      </c>
      <c r="Q28" s="953"/>
      <c r="R28" s="953"/>
      <c r="S28" s="954"/>
      <c r="T28" s="913"/>
      <c r="U28" s="885"/>
      <c r="V28" s="293" t="s">
        <v>466</v>
      </c>
      <c r="W28" s="299"/>
      <c r="X28" s="300"/>
      <c r="Y28" s="299"/>
      <c r="Z28" s="300"/>
      <c r="AA28" s="913"/>
      <c r="AB28" s="885"/>
      <c r="AC28" s="313" t="s">
        <v>727</v>
      </c>
      <c r="AD28" s="296" t="str">
        <f>'FS-LNF'!AS$38</f>
        <v>-</v>
      </c>
      <c r="AE28" s="627">
        <f>'FS-LNF'!AT$38</f>
        <v>0</v>
      </c>
      <c r="AF28" s="296" t="str">
        <f>'FS-LNF'!AU$38</f>
        <v>-</v>
      </c>
      <c r="AG28" s="627">
        <f>'FS-LNF'!AV$38</f>
        <v>0</v>
      </c>
      <c r="AH28" s="317" t="s">
        <v>1</v>
      </c>
      <c r="AI28" s="632" t="s">
        <v>1</v>
      </c>
      <c r="AJ28" s="797"/>
    </row>
    <row r="29" spans="1:36" ht="13.5" thickBot="1" x14ac:dyDescent="0.3">
      <c r="A29" s="596"/>
      <c r="B29" s="644"/>
      <c r="C29" s="645"/>
      <c r="D29" s="645"/>
      <c r="E29" s="645"/>
      <c r="F29" s="645"/>
      <c r="G29" s="645"/>
      <c r="H29" s="376"/>
      <c r="I29" s="895"/>
      <c r="J29" s="895"/>
      <c r="K29" s="895"/>
      <c r="L29" s="895"/>
      <c r="M29" s="895"/>
      <c r="N29" s="895"/>
      <c r="O29" s="376"/>
      <c r="P29" s="135" t="s">
        <v>47</v>
      </c>
      <c r="Q29" s="136" t="s">
        <v>173</v>
      </c>
      <c r="R29" s="135" t="s">
        <v>54</v>
      </c>
      <c r="S29" s="136" t="s">
        <v>173</v>
      </c>
      <c r="T29" s="913"/>
      <c r="U29" s="885"/>
      <c r="V29" s="313" t="s">
        <v>478</v>
      </c>
      <c r="W29" s="296"/>
      <c r="X29" s="297"/>
      <c r="Y29" s="296"/>
      <c r="Z29" s="297"/>
      <c r="AA29" s="913"/>
      <c r="AB29" s="885"/>
      <c r="AC29" s="293" t="s">
        <v>728</v>
      </c>
      <c r="AD29" s="299" t="str">
        <f>'FS-LNF'!AS$39</f>
        <v>-</v>
      </c>
      <c r="AE29" s="628">
        <f>'FS-LNF'!AT$39</f>
        <v>0</v>
      </c>
      <c r="AF29" s="299" t="str">
        <f>'FS-LNF'!AU$39</f>
        <v>-</v>
      </c>
      <c r="AG29" s="628">
        <f>'FS-LNF'!AV$39</f>
        <v>0</v>
      </c>
      <c r="AH29" s="316" t="s">
        <v>1</v>
      </c>
      <c r="AI29" s="633" t="s">
        <v>1</v>
      </c>
      <c r="AJ29" s="797"/>
    </row>
    <row r="30" spans="1:36" ht="14" thickTop="1" thickBot="1" x14ac:dyDescent="0.3">
      <c r="A30" s="596"/>
      <c r="B30" s="337"/>
      <c r="C30" s="376"/>
      <c r="D30" s="301"/>
      <c r="E30" s="302"/>
      <c r="F30" s="301"/>
      <c r="G30" s="302"/>
      <c r="H30" s="303"/>
      <c r="I30" s="645"/>
      <c r="J30" s="645"/>
      <c r="K30" s="645"/>
      <c r="L30" s="645"/>
      <c r="M30" s="645"/>
      <c r="N30" s="645"/>
      <c r="O30" s="376"/>
      <c r="P30" s="139">
        <f>COUNTY!BU$5</f>
        <v>0</v>
      </c>
      <c r="Q30" s="626">
        <f>COUNTY!BV$5</f>
        <v>0</v>
      </c>
      <c r="R30" s="139">
        <f>COUNTY!BW$5</f>
        <v>0</v>
      </c>
      <c r="S30" s="626">
        <f>COUNTY!BX$5</f>
        <v>0</v>
      </c>
      <c r="T30" s="913"/>
      <c r="U30" s="885"/>
      <c r="V30" s="293" t="s">
        <v>469</v>
      </c>
      <c r="W30" s="299"/>
      <c r="X30" s="300"/>
      <c r="Y30" s="299"/>
      <c r="Z30" s="300"/>
      <c r="AA30" s="913"/>
      <c r="AB30" s="885"/>
      <c r="AC30" s="313" t="s">
        <v>729</v>
      </c>
      <c r="AD30" s="296" t="str">
        <f>'FS-LNF'!AS$40</f>
        <v>-</v>
      </c>
      <c r="AE30" s="627">
        <f>'FS-LNF'!AT$40</f>
        <v>1092</v>
      </c>
      <c r="AF30" s="296" t="str">
        <f>'FS-LNF'!AU$40</f>
        <v>-</v>
      </c>
      <c r="AG30" s="627">
        <f>'FS-LNF'!AV$40</f>
        <v>0</v>
      </c>
      <c r="AH30" s="317" t="s">
        <v>1</v>
      </c>
      <c r="AI30" s="632" t="s">
        <v>1</v>
      </c>
      <c r="AJ30" s="797"/>
    </row>
    <row r="31" spans="1:36" ht="13.5" thickBot="1" x14ac:dyDescent="0.3">
      <c r="A31" s="596"/>
      <c r="B31" s="894"/>
      <c r="C31" s="895"/>
      <c r="D31" s="895"/>
      <c r="E31" s="895"/>
      <c r="F31" s="895"/>
      <c r="G31" s="895"/>
      <c r="H31" s="376"/>
      <c r="I31" s="301"/>
      <c r="J31" s="302"/>
      <c r="K31" s="301"/>
      <c r="L31" s="302"/>
      <c r="M31" s="301"/>
      <c r="N31" s="302"/>
      <c r="O31" s="376"/>
      <c r="P31" s="940" t="s">
        <v>730</v>
      </c>
      <c r="Q31" s="941"/>
      <c r="R31" s="941"/>
      <c r="S31" s="942"/>
      <c r="T31" s="913"/>
      <c r="U31" s="885"/>
      <c r="V31" s="313" t="s">
        <v>471</v>
      </c>
      <c r="W31" s="296"/>
      <c r="X31" s="297"/>
      <c r="Y31" s="296"/>
      <c r="Z31" s="297"/>
      <c r="AA31" s="913"/>
      <c r="AB31" s="430"/>
      <c r="AC31" s="309"/>
      <c r="AD31" s="309"/>
      <c r="AE31" s="309"/>
      <c r="AF31" s="309"/>
      <c r="AG31" s="629"/>
      <c r="AH31" s="309"/>
      <c r="AI31" s="310"/>
      <c r="AJ31" s="797"/>
    </row>
    <row r="32" spans="1:36" ht="13.5" thickBot="1" x14ac:dyDescent="0.3">
      <c r="A32" s="596"/>
      <c r="B32" s="644"/>
      <c r="C32" s="645"/>
      <c r="D32" s="645"/>
      <c r="E32" s="645"/>
      <c r="F32" s="645"/>
      <c r="G32" s="645"/>
      <c r="H32" s="376"/>
      <c r="I32" s="895"/>
      <c r="J32" s="895"/>
      <c r="K32" s="895"/>
      <c r="L32" s="895"/>
      <c r="M32" s="895"/>
      <c r="N32" s="895"/>
      <c r="O32" s="376"/>
      <c r="P32" s="144" t="s">
        <v>47</v>
      </c>
      <c r="Q32" s="145" t="s">
        <v>173</v>
      </c>
      <c r="R32" s="144" t="s">
        <v>54</v>
      </c>
      <c r="S32" s="145" t="s">
        <v>173</v>
      </c>
      <c r="T32" s="913"/>
      <c r="U32" s="885"/>
      <c r="V32" s="293" t="s">
        <v>472</v>
      </c>
      <c r="W32" s="299"/>
      <c r="X32" s="300"/>
      <c r="Y32" s="299"/>
      <c r="Z32" s="300"/>
      <c r="AA32" s="913"/>
      <c r="AB32" s="901" t="s">
        <v>731</v>
      </c>
      <c r="AC32" s="319" t="s">
        <v>477</v>
      </c>
      <c r="AD32" s="296">
        <f>'MT-SWS'!AS$15</f>
        <v>0</v>
      </c>
      <c r="AE32" s="627">
        <f>'MT-SWS'!AT$15</f>
        <v>0</v>
      </c>
      <c r="AF32" s="296">
        <f>'MT-SWS'!AU$15</f>
        <v>1</v>
      </c>
      <c r="AG32" s="627">
        <f>'MT-SWS'!AV$15</f>
        <v>418.1</v>
      </c>
      <c r="AH32" s="296">
        <f>'RX Fires'!AC9</f>
        <v>1</v>
      </c>
      <c r="AI32" s="630">
        <f>'RX Fires'!AI9</f>
        <v>1.5</v>
      </c>
      <c r="AJ32" s="797"/>
    </row>
    <row r="33" spans="1:36" ht="14" thickTop="1" thickBot="1" x14ac:dyDescent="0.3">
      <c r="A33" s="596"/>
      <c r="B33" s="337"/>
      <c r="C33" s="302"/>
      <c r="D33" s="301"/>
      <c r="E33" s="302"/>
      <c r="F33" s="301"/>
      <c r="G33" s="302"/>
      <c r="H33" s="376"/>
      <c r="I33" s="645"/>
      <c r="J33" s="645"/>
      <c r="K33" s="645"/>
      <c r="L33" s="645"/>
      <c r="M33" s="645"/>
      <c r="N33" s="645"/>
      <c r="O33" s="376"/>
      <c r="P33" s="148">
        <f>COUNTY!BU$29</f>
        <v>0</v>
      </c>
      <c r="Q33" s="625">
        <f>COUNTY!BV$29</f>
        <v>0</v>
      </c>
      <c r="R33" s="148">
        <f>COUNTY!BW$29</f>
        <v>0</v>
      </c>
      <c r="S33" s="625">
        <f>COUNTY!BX$29</f>
        <v>0</v>
      </c>
      <c r="T33" s="913"/>
      <c r="U33" s="885"/>
      <c r="V33" s="313" t="s">
        <v>475</v>
      </c>
      <c r="W33" s="296"/>
      <c r="X33" s="297"/>
      <c r="Y33" s="296"/>
      <c r="Z33" s="297"/>
      <c r="AA33" s="913"/>
      <c r="AB33" s="885"/>
      <c r="AC33" s="293" t="s">
        <v>475</v>
      </c>
      <c r="AD33" s="299">
        <f>'MT-SWS'!AS$17</f>
        <v>0</v>
      </c>
      <c r="AE33" s="628">
        <f>'MT-SWS'!AT$17</f>
        <v>0</v>
      </c>
      <c r="AF33" s="299">
        <f>'MT-SWS'!AU$17</f>
        <v>0</v>
      </c>
      <c r="AG33" s="628">
        <f>'MT-SWS'!AV$17</f>
        <v>0</v>
      </c>
      <c r="AH33" s="316" t="s">
        <v>1</v>
      </c>
      <c r="AI33" s="633" t="s">
        <v>1</v>
      </c>
      <c r="AJ33" s="797"/>
    </row>
    <row r="34" spans="1:36" ht="13.5" thickBot="1" x14ac:dyDescent="0.3">
      <c r="A34" s="596"/>
      <c r="B34" s="894"/>
      <c r="C34" s="895"/>
      <c r="D34" s="895"/>
      <c r="E34" s="895"/>
      <c r="F34" s="895"/>
      <c r="G34" s="895"/>
      <c r="H34" s="376"/>
      <c r="I34" s="301"/>
      <c r="J34" s="302"/>
      <c r="K34" s="301"/>
      <c r="L34" s="302"/>
      <c r="M34" s="301"/>
      <c r="N34" s="302"/>
      <c r="O34" s="376"/>
      <c r="P34" s="952" t="s">
        <v>732</v>
      </c>
      <c r="Q34" s="953"/>
      <c r="R34" s="953"/>
      <c r="S34" s="954"/>
      <c r="T34" s="913"/>
      <c r="U34" s="885"/>
      <c r="V34" s="293" t="s">
        <v>476</v>
      </c>
      <c r="W34" s="299"/>
      <c r="X34" s="300"/>
      <c r="Y34" s="299"/>
      <c r="Z34" s="300"/>
      <c r="AA34" s="913"/>
      <c r="AB34" s="885"/>
      <c r="AC34" s="313" t="s">
        <v>466</v>
      </c>
      <c r="AD34" s="296">
        <f>'MT-SWS'!AS$18</f>
        <v>21</v>
      </c>
      <c r="AE34" s="627">
        <f>'MT-SWS'!AT$18</f>
        <v>14.329999999999998</v>
      </c>
      <c r="AF34" s="296">
        <f>'MT-SWS'!AU$18</f>
        <v>1</v>
      </c>
      <c r="AG34" s="627">
        <f>'MT-SWS'!AV$18</f>
        <v>0.1</v>
      </c>
      <c r="AH34" s="317" t="s">
        <v>1</v>
      </c>
      <c r="AI34" s="632" t="s">
        <v>1</v>
      </c>
      <c r="AJ34" s="797"/>
    </row>
    <row r="35" spans="1:36" ht="13.5" thickBot="1" x14ac:dyDescent="0.3">
      <c r="A35" s="596"/>
      <c r="B35" s="644"/>
      <c r="C35" s="645"/>
      <c r="D35" s="645"/>
      <c r="E35" s="645"/>
      <c r="F35" s="645"/>
      <c r="G35" s="645"/>
      <c r="H35" s="376"/>
      <c r="I35" s="895"/>
      <c r="J35" s="895"/>
      <c r="K35" s="895"/>
      <c r="L35" s="895"/>
      <c r="M35" s="895"/>
      <c r="N35" s="895"/>
      <c r="O35" s="376"/>
      <c r="P35" s="135" t="s">
        <v>47</v>
      </c>
      <c r="Q35" s="136" t="s">
        <v>173</v>
      </c>
      <c r="R35" s="135" t="s">
        <v>54</v>
      </c>
      <c r="S35" s="136" t="s">
        <v>173</v>
      </c>
      <c r="T35" s="913"/>
      <c r="U35" s="886"/>
      <c r="V35" s="313"/>
      <c r="W35" s="296"/>
      <c r="X35" s="297"/>
      <c r="Y35" s="296"/>
      <c r="Z35" s="297"/>
      <c r="AA35" s="913"/>
      <c r="AB35" s="885"/>
      <c r="AC35" s="293" t="s">
        <v>478</v>
      </c>
      <c r="AD35" s="299">
        <f>'MT-SWS'!AS$19</f>
        <v>0</v>
      </c>
      <c r="AE35" s="628">
        <f>'MT-SWS'!AT$19</f>
        <v>0</v>
      </c>
      <c r="AF35" s="299">
        <f>'MT-SWS'!AU$19</f>
        <v>0</v>
      </c>
      <c r="AG35" s="628">
        <f>'MT-SWS'!AV$19</f>
        <v>0</v>
      </c>
      <c r="AH35" s="316" t="s">
        <v>1</v>
      </c>
      <c r="AI35" s="633" t="s">
        <v>1</v>
      </c>
      <c r="AJ35" s="797"/>
    </row>
    <row r="36" spans="1:36" ht="14" thickTop="1" thickBot="1" x14ac:dyDescent="0.3">
      <c r="A36" s="596"/>
      <c r="B36" s="337"/>
      <c r="C36" s="376"/>
      <c r="D36" s="301"/>
      <c r="E36" s="302"/>
      <c r="F36" s="301"/>
      <c r="G36" s="302"/>
      <c r="H36" s="376"/>
      <c r="I36" s="645"/>
      <c r="J36" s="645"/>
      <c r="K36" s="645"/>
      <c r="L36" s="645"/>
      <c r="M36" s="645"/>
      <c r="N36" s="645"/>
      <c r="O36" s="376"/>
      <c r="P36" s="139">
        <f>COUNTY!BU$53</f>
        <v>0</v>
      </c>
      <c r="Q36" s="626">
        <f>COUNTY!BV$53</f>
        <v>0</v>
      </c>
      <c r="R36" s="139">
        <f>COUNTY!BW$53</f>
        <v>0</v>
      </c>
      <c r="S36" s="626">
        <f>COUNTY!BX$53</f>
        <v>0</v>
      </c>
      <c r="T36" s="913"/>
      <c r="U36" s="887"/>
      <c r="V36" s="796"/>
      <c r="W36" s="796"/>
      <c r="X36" s="796"/>
      <c r="Y36" s="796"/>
      <c r="Z36" s="796"/>
      <c r="AA36" s="913"/>
      <c r="AB36" s="885"/>
      <c r="AC36" s="313" t="s">
        <v>467</v>
      </c>
      <c r="AD36" s="296">
        <f>'MT-SWS'!AS$20</f>
        <v>0</v>
      </c>
      <c r="AE36" s="627">
        <f>'MT-SWS'!AT$20</f>
        <v>0</v>
      </c>
      <c r="AF36" s="296">
        <f>'MT-SWS'!AU$20</f>
        <v>0</v>
      </c>
      <c r="AG36" s="627">
        <f>'MT-SWS'!AV$20</f>
        <v>0</v>
      </c>
      <c r="AH36" s="317" t="s">
        <v>1</v>
      </c>
      <c r="AI36" s="632" t="s">
        <v>1</v>
      </c>
      <c r="AJ36" s="797"/>
    </row>
    <row r="37" spans="1:36" ht="13.5" thickBot="1" x14ac:dyDescent="0.3">
      <c r="A37" s="596"/>
      <c r="B37" s="374"/>
      <c r="C37" s="375"/>
      <c r="D37" s="375"/>
      <c r="E37" s="375"/>
      <c r="F37" s="375"/>
      <c r="G37" s="375"/>
      <c r="H37" s="377"/>
      <c r="I37" s="377"/>
      <c r="J37" s="377"/>
      <c r="K37" s="377"/>
      <c r="L37" s="377"/>
      <c r="M37" s="377"/>
      <c r="N37" s="377"/>
      <c r="O37" s="377"/>
      <c r="P37" s="305"/>
      <c r="Q37" s="306"/>
      <c r="R37" s="305"/>
      <c r="S37" s="307"/>
      <c r="T37" s="913"/>
      <c r="U37" s="884" t="s">
        <v>465</v>
      </c>
      <c r="V37" s="319" t="s">
        <v>468</v>
      </c>
      <c r="W37" s="296"/>
      <c r="X37" s="297"/>
      <c r="Y37" s="296"/>
      <c r="Z37" s="297"/>
      <c r="AA37" s="913"/>
      <c r="AB37" s="885"/>
      <c r="AC37" s="293" t="s">
        <v>468</v>
      </c>
      <c r="AD37" s="299">
        <f>'MT-SWS'!AS$21</f>
        <v>0</v>
      </c>
      <c r="AE37" s="628">
        <f>'MT-SWS'!AT$21</f>
        <v>0</v>
      </c>
      <c r="AF37" s="299">
        <f>'MT-SWS'!AU$21</f>
        <v>0</v>
      </c>
      <c r="AG37" s="628">
        <f>'MT-SWS'!AV$21</f>
        <v>0</v>
      </c>
      <c r="AH37" s="316" t="s">
        <v>1</v>
      </c>
      <c r="AI37" s="633" t="s">
        <v>1</v>
      </c>
      <c r="AJ37" s="797"/>
    </row>
    <row r="38" spans="1:36" ht="13" x14ac:dyDescent="0.25">
      <c r="A38" s="596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913"/>
      <c r="U38" s="885"/>
      <c r="V38" s="293" t="s">
        <v>466</v>
      </c>
      <c r="W38" s="299"/>
      <c r="X38" s="300"/>
      <c r="Y38" s="299"/>
      <c r="Z38" s="300"/>
      <c r="AA38" s="913"/>
      <c r="AB38" s="885"/>
      <c r="AC38" s="313" t="s">
        <v>469</v>
      </c>
      <c r="AD38" s="296">
        <f>'MT-SWS'!AS$22</f>
        <v>0</v>
      </c>
      <c r="AE38" s="627">
        <f>'MT-SWS'!AT$22</f>
        <v>0</v>
      </c>
      <c r="AF38" s="296">
        <f>'MT-SWS'!AU$22</f>
        <v>0</v>
      </c>
      <c r="AG38" s="627">
        <f>'MT-SWS'!AV$22</f>
        <v>0</v>
      </c>
      <c r="AH38" s="317" t="s">
        <v>1</v>
      </c>
      <c r="AI38" s="632" t="s">
        <v>1</v>
      </c>
      <c r="AJ38" s="797"/>
    </row>
    <row r="39" spans="1:36" ht="13" x14ac:dyDescent="0.25">
      <c r="T39" s="913"/>
      <c r="U39" s="885"/>
      <c r="V39" s="313" t="s">
        <v>473</v>
      </c>
      <c r="W39" s="296"/>
      <c r="X39" s="297"/>
      <c r="Y39" s="296"/>
      <c r="Z39" s="297"/>
      <c r="AA39" s="913"/>
      <c r="AB39" s="885"/>
      <c r="AC39" s="293" t="s">
        <v>471</v>
      </c>
      <c r="AD39" s="299">
        <f>'MT-SWS'!AS$23</f>
        <v>1</v>
      </c>
      <c r="AE39" s="628">
        <f>'MT-SWS'!AT$23</f>
        <v>0.1</v>
      </c>
      <c r="AF39" s="299">
        <f>'MT-SWS'!AU$23</f>
        <v>0</v>
      </c>
      <c r="AG39" s="628">
        <f>'MT-SWS'!AV$23</f>
        <v>0</v>
      </c>
      <c r="AH39" s="316" t="s">
        <v>1</v>
      </c>
      <c r="AI39" s="633" t="s">
        <v>1</v>
      </c>
      <c r="AJ39" s="797"/>
    </row>
    <row r="40" spans="1:36" ht="13" x14ac:dyDescent="0.25">
      <c r="T40" s="913"/>
      <c r="U40" s="885"/>
      <c r="V40" s="293" t="s">
        <v>475</v>
      </c>
      <c r="W40" s="299"/>
      <c r="X40" s="300"/>
      <c r="Y40" s="299"/>
      <c r="Z40" s="300"/>
      <c r="AA40" s="913"/>
      <c r="AB40" s="885"/>
      <c r="AC40" s="313" t="s">
        <v>472</v>
      </c>
      <c r="AD40" s="296">
        <f>'MT-SWS'!AS$24</f>
        <v>0</v>
      </c>
      <c r="AE40" s="627">
        <f>'MT-SWS'!AT$24</f>
        <v>0</v>
      </c>
      <c r="AF40" s="296">
        <f>'MT-SWS'!AU$24</f>
        <v>0</v>
      </c>
      <c r="AG40" s="627">
        <f>'MT-SWS'!AV$24</f>
        <v>0</v>
      </c>
      <c r="AH40" s="317" t="s">
        <v>1</v>
      </c>
      <c r="AI40" s="632" t="s">
        <v>1</v>
      </c>
      <c r="AJ40" s="797"/>
    </row>
    <row r="41" spans="1:36" ht="13" x14ac:dyDescent="0.25">
      <c r="T41" s="913"/>
      <c r="U41" s="885"/>
      <c r="V41" s="313" t="s">
        <v>476</v>
      </c>
      <c r="W41" s="296"/>
      <c r="X41" s="297"/>
      <c r="Y41" s="296"/>
      <c r="Z41" s="297"/>
      <c r="AA41" s="913"/>
      <c r="AB41" s="885"/>
      <c r="AC41" s="293" t="s">
        <v>473</v>
      </c>
      <c r="AD41" s="299">
        <f>'MT-SWS'!AS$25</f>
        <v>0</v>
      </c>
      <c r="AE41" s="628">
        <f>'MT-SWS'!AT$25</f>
        <v>0</v>
      </c>
      <c r="AF41" s="299">
        <f>'MT-SWS'!AU$25</f>
        <v>0</v>
      </c>
      <c r="AG41" s="628">
        <f>'MT-SWS'!AV$25</f>
        <v>0</v>
      </c>
      <c r="AH41" s="316" t="s">
        <v>1</v>
      </c>
      <c r="AI41" s="633" t="s">
        <v>1</v>
      </c>
      <c r="AJ41" s="797"/>
    </row>
    <row r="42" spans="1:36" ht="13" x14ac:dyDescent="0.25">
      <c r="T42" s="913"/>
      <c r="U42" s="886"/>
      <c r="V42" s="293" t="s">
        <v>477</v>
      </c>
      <c r="W42" s="299"/>
      <c r="X42" s="300"/>
      <c r="Y42" s="299"/>
      <c r="Z42" s="300"/>
      <c r="AA42" s="913"/>
      <c r="AB42" s="885"/>
      <c r="AC42" s="313" t="s">
        <v>474</v>
      </c>
      <c r="AD42" s="296">
        <f>'MT-SWS'!AS$26</f>
        <v>0</v>
      </c>
      <c r="AE42" s="627">
        <f>'MT-SWS'!AT$26</f>
        <v>0</v>
      </c>
      <c r="AF42" s="296">
        <f>'MT-SWS'!AU$26</f>
        <v>0</v>
      </c>
      <c r="AG42" s="627">
        <f>'MT-SWS'!AV$26</f>
        <v>0</v>
      </c>
      <c r="AH42" s="317" t="s">
        <v>1</v>
      </c>
      <c r="AI42" s="632" t="s">
        <v>1</v>
      </c>
      <c r="AJ42" s="797"/>
    </row>
    <row r="43" spans="1:36" ht="13" x14ac:dyDescent="0.25">
      <c r="T43" s="913"/>
      <c r="U43" s="887"/>
      <c r="V43" s="796"/>
      <c r="W43" s="796"/>
      <c r="X43" s="796"/>
      <c r="Y43" s="796"/>
      <c r="Z43" s="796"/>
      <c r="AA43" s="913"/>
      <c r="AB43" s="885"/>
      <c r="AC43" s="293" t="s">
        <v>476</v>
      </c>
      <c r="AD43" s="299">
        <f>'MT-SWS'!AS$16</f>
        <v>4</v>
      </c>
      <c r="AE43" s="628">
        <f>'MT-SWS'!AT$16</f>
        <v>0.4</v>
      </c>
      <c r="AF43" s="299">
        <f>'MT-SWS'!AU$16</f>
        <v>1</v>
      </c>
      <c r="AG43" s="628">
        <f>'MT-SWS'!AV$16</f>
        <v>5495</v>
      </c>
      <c r="AH43" s="316" t="s">
        <v>1</v>
      </c>
      <c r="AI43" s="633" t="s">
        <v>1</v>
      </c>
      <c r="AJ43" s="797"/>
    </row>
    <row r="44" spans="1:36" ht="13" x14ac:dyDescent="0.25">
      <c r="T44" s="913"/>
      <c r="U44" s="884" t="s">
        <v>465</v>
      </c>
      <c r="V44" s="319" t="s">
        <v>469</v>
      </c>
      <c r="W44" s="296"/>
      <c r="X44" s="297"/>
      <c r="Y44" s="296"/>
      <c r="Z44" s="297"/>
      <c r="AA44" s="913"/>
      <c r="AB44" s="885"/>
      <c r="AC44" s="313" t="s">
        <v>719</v>
      </c>
      <c r="AD44" s="296" t="str">
        <f>'FS-LNF'!AS$32</f>
        <v>-</v>
      </c>
      <c r="AE44" s="627">
        <f>'FS-LNF'!AT$32</f>
        <v>0</v>
      </c>
      <c r="AF44" s="296" t="str">
        <f>'FS-LNF'!AU$32</f>
        <v>-</v>
      </c>
      <c r="AG44" s="627">
        <f>'FS-LNF'!AV$32</f>
        <v>0</v>
      </c>
      <c r="AH44" s="317" t="s">
        <v>1</v>
      </c>
      <c r="AI44" s="632" t="s">
        <v>1</v>
      </c>
      <c r="AJ44" s="797"/>
    </row>
    <row r="45" spans="1:36" ht="13" x14ac:dyDescent="0.25">
      <c r="T45" s="913"/>
      <c r="U45" s="885"/>
      <c r="V45" s="293" t="s">
        <v>466</v>
      </c>
      <c r="W45" s="299"/>
      <c r="X45" s="300"/>
      <c r="Y45" s="299"/>
      <c r="Z45" s="300"/>
      <c r="AA45" s="913"/>
      <c r="AB45" s="885"/>
      <c r="AC45" s="293" t="s">
        <v>720</v>
      </c>
      <c r="AD45" s="299" t="str">
        <f>'MT-SWS'!AS$29</f>
        <v>-</v>
      </c>
      <c r="AE45" s="628">
        <f>'MT-SWS'!AT$29</f>
        <v>0</v>
      </c>
      <c r="AF45" s="299" t="str">
        <f>'MT-SWS'!AU$29</f>
        <v>-</v>
      </c>
      <c r="AG45" s="628">
        <f>'MT-SWS'!AV$29</f>
        <v>0</v>
      </c>
      <c r="AH45" s="316" t="s">
        <v>1</v>
      </c>
      <c r="AI45" s="633" t="s">
        <v>1</v>
      </c>
      <c r="AJ45" s="797"/>
    </row>
    <row r="46" spans="1:36" ht="13" x14ac:dyDescent="0.25">
      <c r="T46" s="913"/>
      <c r="U46" s="885"/>
      <c r="V46" s="313" t="s">
        <v>467</v>
      </c>
      <c r="W46" s="296"/>
      <c r="X46" s="297"/>
      <c r="Y46" s="296"/>
      <c r="Z46" s="297"/>
      <c r="AA46" s="913"/>
      <c r="AB46" s="885"/>
      <c r="AC46" s="313" t="s">
        <v>721</v>
      </c>
      <c r="AD46" s="296" t="str">
        <f>'MT-SWS'!AS$30</f>
        <v>-</v>
      </c>
      <c r="AE46" s="627">
        <f>'MT-SWS'!AT$30</f>
        <v>0</v>
      </c>
      <c r="AF46" s="296" t="str">
        <f>'MT-SWS'!AU$30</f>
        <v>-</v>
      </c>
      <c r="AG46" s="627">
        <f>'MT-SWS'!AV$30</f>
        <v>1241</v>
      </c>
      <c r="AH46" s="317" t="s">
        <v>1</v>
      </c>
      <c r="AI46" s="632" t="s">
        <v>1</v>
      </c>
      <c r="AJ46" s="797"/>
    </row>
    <row r="47" spans="1:36" ht="13" x14ac:dyDescent="0.25">
      <c r="T47" s="913"/>
      <c r="U47" s="885"/>
      <c r="V47" s="293" t="s">
        <v>472</v>
      </c>
      <c r="W47" s="299"/>
      <c r="X47" s="300"/>
      <c r="Y47" s="299"/>
      <c r="Z47" s="300"/>
      <c r="AA47" s="913"/>
      <c r="AB47" s="885"/>
      <c r="AC47" s="293" t="s">
        <v>723</v>
      </c>
      <c r="AD47" s="299" t="str">
        <f>'MT-SWS'!AS$31</f>
        <v>-</v>
      </c>
      <c r="AE47" s="628">
        <f>'MT-SWS'!AT$31</f>
        <v>0</v>
      </c>
      <c r="AF47" s="299" t="str">
        <f>'MT-SWS'!AU$31</f>
        <v>-</v>
      </c>
      <c r="AG47" s="628">
        <f>'MT-SWS'!AV$31</f>
        <v>0</v>
      </c>
      <c r="AH47" s="316" t="s">
        <v>1</v>
      </c>
      <c r="AI47" s="633" t="s">
        <v>1</v>
      </c>
      <c r="AJ47" s="797"/>
    </row>
    <row r="48" spans="1:36" ht="13" x14ac:dyDescent="0.25">
      <c r="T48" s="913"/>
      <c r="U48" s="885"/>
      <c r="V48" s="313" t="s">
        <v>475</v>
      </c>
      <c r="W48" s="296"/>
      <c r="X48" s="297"/>
      <c r="Y48" s="296"/>
      <c r="Z48" s="297"/>
      <c r="AA48" s="913"/>
      <c r="AB48" s="885"/>
      <c r="AC48" s="313" t="s">
        <v>724</v>
      </c>
      <c r="AD48" s="296" t="str">
        <f>'MT-SWS'!AS$32</f>
        <v>-</v>
      </c>
      <c r="AE48" s="627">
        <f>'MT-SWS'!AT$32</f>
        <v>0</v>
      </c>
      <c r="AF48" s="296" t="str">
        <f>'MT-SWS'!AU$32</f>
        <v>-</v>
      </c>
      <c r="AG48" s="627">
        <f>'MT-SWS'!AV$32</f>
        <v>0</v>
      </c>
      <c r="AH48" s="317" t="s">
        <v>1</v>
      </c>
      <c r="AI48" s="632" t="s">
        <v>1</v>
      </c>
      <c r="AJ48" s="797"/>
    </row>
    <row r="49" spans="20:36" ht="13" x14ac:dyDescent="0.25">
      <c r="T49" s="913"/>
      <c r="U49" s="885"/>
      <c r="V49" s="293" t="s">
        <v>476</v>
      </c>
      <c r="W49" s="299"/>
      <c r="X49" s="300"/>
      <c r="Y49" s="299"/>
      <c r="Z49" s="300"/>
      <c r="AA49" s="913"/>
      <c r="AB49" s="885"/>
      <c r="AC49" s="293" t="s">
        <v>725</v>
      </c>
      <c r="AD49" s="299" t="str">
        <f>'MT-SWS'!AS$33</f>
        <v>-</v>
      </c>
      <c r="AE49" s="628">
        <f>'MT-SWS'!AT$33</f>
        <v>0</v>
      </c>
      <c r="AF49" s="299" t="str">
        <f>'MT-SWS'!AU$33</f>
        <v>-</v>
      </c>
      <c r="AG49" s="628">
        <f>'MT-SWS'!AV$33</f>
        <v>0</v>
      </c>
      <c r="AH49" s="316" t="s">
        <v>1</v>
      </c>
      <c r="AI49" s="633" t="s">
        <v>1</v>
      </c>
      <c r="AJ49" s="797"/>
    </row>
    <row r="50" spans="20:36" ht="13" x14ac:dyDescent="0.25">
      <c r="T50" s="913"/>
      <c r="U50" s="886"/>
      <c r="V50" s="313" t="s">
        <v>477</v>
      </c>
      <c r="W50" s="296"/>
      <c r="X50" s="297"/>
      <c r="Y50" s="296"/>
      <c r="Z50" s="297"/>
      <c r="AA50" s="913"/>
      <c r="AB50" s="885"/>
      <c r="AC50" s="313" t="s">
        <v>727</v>
      </c>
      <c r="AD50" s="296" t="str">
        <f>'MT-SWS'!AS$34</f>
        <v>-</v>
      </c>
      <c r="AE50" s="627">
        <f>'MT-SWS'!AT$34</f>
        <v>0</v>
      </c>
      <c r="AF50" s="296" t="str">
        <f>'MT-SWS'!AU$34</f>
        <v>-</v>
      </c>
      <c r="AG50" s="627">
        <f>'MT-SWS'!AV$34</f>
        <v>0</v>
      </c>
      <c r="AH50" s="317" t="s">
        <v>1</v>
      </c>
      <c r="AI50" s="632" t="s">
        <v>1</v>
      </c>
      <c r="AJ50" s="797"/>
    </row>
    <row r="51" spans="20:36" ht="13" x14ac:dyDescent="0.25">
      <c r="T51" s="913"/>
      <c r="U51" s="887"/>
      <c r="V51" s="796"/>
      <c r="W51" s="796"/>
      <c r="X51" s="796"/>
      <c r="Y51" s="796"/>
      <c r="Z51" s="796"/>
      <c r="AA51" s="913"/>
      <c r="AB51" s="885"/>
      <c r="AC51" s="293" t="s">
        <v>728</v>
      </c>
      <c r="AD51" s="299" t="str">
        <f>'MT-SWS'!AS$35</f>
        <v>-</v>
      </c>
      <c r="AE51" s="628">
        <f>'MT-SWS'!AT$35</f>
        <v>0</v>
      </c>
      <c r="AF51" s="299" t="str">
        <f>'MT-SWS'!AU$35</f>
        <v>-</v>
      </c>
      <c r="AG51" s="628">
        <f>'MT-SWS'!AV$35</f>
        <v>0</v>
      </c>
      <c r="AH51" s="316" t="s">
        <v>1</v>
      </c>
      <c r="AI51" s="633" t="s">
        <v>1</v>
      </c>
      <c r="AJ51" s="797"/>
    </row>
    <row r="52" spans="20:36" ht="13" x14ac:dyDescent="0.25">
      <c r="T52" s="913"/>
      <c r="U52" s="884" t="s">
        <v>465</v>
      </c>
      <c r="V52" s="319" t="s">
        <v>471</v>
      </c>
      <c r="W52" s="296"/>
      <c r="X52" s="297"/>
      <c r="Y52" s="296"/>
      <c r="Z52" s="297"/>
      <c r="AA52" s="913"/>
      <c r="AB52" s="885"/>
      <c r="AC52" s="313" t="s">
        <v>729</v>
      </c>
      <c r="AD52" s="296" t="str">
        <f>'MT-SWS'!AS$36</f>
        <v>-</v>
      </c>
      <c r="AE52" s="627">
        <f>'MT-SWS'!AT$36</f>
        <v>0</v>
      </c>
      <c r="AF52" s="296" t="str">
        <f>'MT-SWS'!AU$36</f>
        <v>-</v>
      </c>
      <c r="AG52" s="627">
        <f>'MT-SWS'!AV$36</f>
        <v>0</v>
      </c>
      <c r="AH52" s="317" t="s">
        <v>1</v>
      </c>
      <c r="AI52" s="632" t="s">
        <v>1</v>
      </c>
      <c r="AJ52" s="797"/>
    </row>
    <row r="53" spans="20:36" ht="13.5" thickBot="1" x14ac:dyDescent="0.3">
      <c r="T53" s="913"/>
      <c r="U53" s="885"/>
      <c r="V53" s="293" t="s">
        <v>466</v>
      </c>
      <c r="W53" s="299"/>
      <c r="X53" s="300"/>
      <c r="Y53" s="299"/>
      <c r="Z53" s="300"/>
      <c r="AA53" s="913"/>
      <c r="AB53" s="432"/>
      <c r="AC53" s="433"/>
      <c r="AD53" s="309"/>
      <c r="AE53" s="309"/>
      <c r="AF53" s="309"/>
      <c r="AG53" s="309"/>
      <c r="AH53" s="309"/>
      <c r="AI53" s="310"/>
      <c r="AJ53" s="797"/>
    </row>
    <row r="54" spans="20:36" ht="13" hidden="1" x14ac:dyDescent="0.25">
      <c r="T54" s="913"/>
      <c r="U54" s="885"/>
      <c r="V54" s="313" t="s">
        <v>478</v>
      </c>
      <c r="W54" s="296"/>
      <c r="X54" s="297"/>
      <c r="Y54" s="296"/>
      <c r="Z54" s="297"/>
      <c r="AA54" s="913"/>
      <c r="AB54" s="321"/>
    </row>
    <row r="55" spans="20:36" ht="13" hidden="1" x14ac:dyDescent="0.25">
      <c r="T55" s="913"/>
      <c r="U55" s="885"/>
      <c r="V55" s="293" t="s">
        <v>467</v>
      </c>
      <c r="W55" s="299"/>
      <c r="X55" s="300"/>
      <c r="Y55" s="299"/>
      <c r="Z55" s="300"/>
      <c r="AA55" s="913"/>
      <c r="AB55" s="321"/>
    </row>
    <row r="56" spans="20:36" ht="13" hidden="1" x14ac:dyDescent="0.25">
      <c r="T56" s="913"/>
      <c r="U56" s="885"/>
      <c r="V56" s="313" t="s">
        <v>473</v>
      </c>
      <c r="W56" s="296"/>
      <c r="X56" s="297"/>
      <c r="Y56" s="296"/>
      <c r="Z56" s="297"/>
      <c r="AA56" s="913"/>
      <c r="AB56" s="321"/>
    </row>
    <row r="57" spans="20:36" ht="13" hidden="1" x14ac:dyDescent="0.25">
      <c r="T57" s="913"/>
      <c r="U57" s="885"/>
      <c r="V57" s="293" t="s">
        <v>475</v>
      </c>
      <c r="W57" s="299"/>
      <c r="X57" s="300"/>
      <c r="Y57" s="299"/>
      <c r="Z57" s="300"/>
      <c r="AA57" s="913"/>
      <c r="AB57" s="321"/>
    </row>
    <row r="58" spans="20:36" ht="13" hidden="1" x14ac:dyDescent="0.25">
      <c r="T58" s="913"/>
      <c r="U58" s="885"/>
      <c r="V58" s="313" t="s">
        <v>476</v>
      </c>
      <c r="W58" s="296"/>
      <c r="X58" s="297"/>
      <c r="Y58" s="296"/>
      <c r="Z58" s="297"/>
      <c r="AA58" s="913"/>
      <c r="AB58" s="321"/>
    </row>
    <row r="59" spans="20:36" ht="13" hidden="1" x14ac:dyDescent="0.25">
      <c r="T59" s="913"/>
      <c r="U59" s="886"/>
      <c r="V59" s="293" t="s">
        <v>477</v>
      </c>
      <c r="W59" s="299"/>
      <c r="X59" s="300"/>
      <c r="Y59" s="299"/>
      <c r="Z59" s="300"/>
      <c r="AA59" s="913"/>
      <c r="AB59" s="321"/>
    </row>
    <row r="60" spans="20:36" hidden="1" x14ac:dyDescent="0.25">
      <c r="T60" s="913"/>
      <c r="U60" s="887"/>
      <c r="V60" s="796"/>
      <c r="W60" s="796"/>
      <c r="X60" s="796"/>
      <c r="Y60" s="796"/>
      <c r="Z60" s="796"/>
      <c r="AA60" s="913"/>
      <c r="AB60" s="321"/>
    </row>
    <row r="61" spans="20:36" ht="13" hidden="1" x14ac:dyDescent="0.25">
      <c r="T61" s="913"/>
      <c r="U61" s="884" t="s">
        <v>465</v>
      </c>
      <c r="V61" s="319" t="s">
        <v>472</v>
      </c>
      <c r="W61" s="296"/>
      <c r="X61" s="297"/>
      <c r="Y61" s="296"/>
      <c r="Z61" s="297"/>
      <c r="AA61" s="913"/>
      <c r="AB61" s="321"/>
    </row>
    <row r="62" spans="20:36" ht="13" hidden="1" x14ac:dyDescent="0.25">
      <c r="T62" s="913"/>
      <c r="U62" s="885"/>
      <c r="V62" s="293" t="s">
        <v>466</v>
      </c>
      <c r="W62" s="299"/>
      <c r="X62" s="300"/>
      <c r="Y62" s="299"/>
      <c r="Z62" s="300"/>
      <c r="AA62" s="913"/>
      <c r="AB62" s="321"/>
    </row>
    <row r="63" spans="20:36" ht="13" hidden="1" x14ac:dyDescent="0.25">
      <c r="T63" s="913"/>
      <c r="U63" s="885"/>
      <c r="V63" s="313" t="s">
        <v>467</v>
      </c>
      <c r="W63" s="296"/>
      <c r="X63" s="297"/>
      <c r="Y63" s="296"/>
      <c r="Z63" s="297"/>
      <c r="AA63" s="913"/>
      <c r="AB63" s="321"/>
    </row>
    <row r="64" spans="20:36" ht="13" hidden="1" x14ac:dyDescent="0.25">
      <c r="T64" s="913"/>
      <c r="U64" s="885"/>
      <c r="V64" s="293" t="s">
        <v>469</v>
      </c>
      <c r="W64" s="299"/>
      <c r="X64" s="300"/>
      <c r="Y64" s="299"/>
      <c r="Z64" s="300"/>
      <c r="AA64" s="913"/>
      <c r="AB64" s="321"/>
    </row>
    <row r="65" spans="20:28" ht="13" hidden="1" x14ac:dyDescent="0.25">
      <c r="T65" s="913"/>
      <c r="U65" s="885"/>
      <c r="V65" s="313" t="s">
        <v>474</v>
      </c>
      <c r="W65" s="296"/>
      <c r="X65" s="297"/>
      <c r="Y65" s="296"/>
      <c r="Z65" s="297"/>
      <c r="AA65" s="913"/>
      <c r="AB65" s="321"/>
    </row>
    <row r="66" spans="20:28" ht="13" hidden="1" x14ac:dyDescent="0.25">
      <c r="T66" s="913"/>
      <c r="U66" s="885"/>
      <c r="V66" s="293" t="s">
        <v>475</v>
      </c>
      <c r="W66" s="299"/>
      <c r="X66" s="300"/>
      <c r="Y66" s="299"/>
      <c r="Z66" s="300"/>
      <c r="AA66" s="913"/>
      <c r="AB66" s="321"/>
    </row>
    <row r="67" spans="20:28" ht="13" hidden="1" x14ac:dyDescent="0.25">
      <c r="T67" s="913"/>
      <c r="U67" s="885"/>
      <c r="V67" s="313" t="s">
        <v>476</v>
      </c>
      <c r="W67" s="296"/>
      <c r="X67" s="297"/>
      <c r="Y67" s="296"/>
      <c r="Z67" s="297"/>
      <c r="AA67" s="913"/>
      <c r="AB67" s="321"/>
    </row>
    <row r="68" spans="20:28" ht="13" hidden="1" x14ac:dyDescent="0.25">
      <c r="T68" s="913"/>
      <c r="U68" s="886"/>
      <c r="V68" s="293" t="s">
        <v>477</v>
      </c>
      <c r="W68" s="299"/>
      <c r="X68" s="300"/>
      <c r="Y68" s="299"/>
      <c r="Z68" s="300"/>
      <c r="AA68" s="913"/>
      <c r="AB68" s="321"/>
    </row>
    <row r="69" spans="20:28" hidden="1" x14ac:dyDescent="0.25">
      <c r="T69" s="913"/>
      <c r="U69" s="887"/>
      <c r="V69" s="796"/>
      <c r="W69" s="796"/>
      <c r="X69" s="796"/>
      <c r="Y69" s="796"/>
      <c r="Z69" s="796"/>
      <c r="AA69" s="913"/>
      <c r="AB69" s="321"/>
    </row>
    <row r="70" spans="20:28" ht="13" hidden="1" x14ac:dyDescent="0.25">
      <c r="T70" s="913"/>
      <c r="U70" s="884" t="s">
        <v>465</v>
      </c>
      <c r="V70" s="319" t="s">
        <v>473</v>
      </c>
      <c r="W70" s="296"/>
      <c r="X70" s="297"/>
      <c r="Y70" s="296"/>
      <c r="Z70" s="297"/>
      <c r="AA70" s="913"/>
      <c r="AB70" s="321"/>
    </row>
    <row r="71" spans="20:28" ht="13" hidden="1" x14ac:dyDescent="0.25">
      <c r="T71" s="913"/>
      <c r="U71" s="885"/>
      <c r="V71" s="293" t="s">
        <v>466</v>
      </c>
      <c r="W71" s="299"/>
      <c r="X71" s="300"/>
      <c r="Y71" s="299"/>
      <c r="Z71" s="300"/>
      <c r="AA71" s="913"/>
      <c r="AB71" s="321"/>
    </row>
    <row r="72" spans="20:28" ht="13" hidden="1" x14ac:dyDescent="0.25">
      <c r="T72" s="913"/>
      <c r="U72" s="885"/>
      <c r="V72" s="313" t="s">
        <v>468</v>
      </c>
      <c r="W72" s="296"/>
      <c r="X72" s="297"/>
      <c r="Y72" s="296"/>
      <c r="Z72" s="297"/>
      <c r="AA72" s="913"/>
      <c r="AB72" s="321"/>
    </row>
    <row r="73" spans="20:28" ht="13" hidden="1" x14ac:dyDescent="0.25">
      <c r="T73" s="913"/>
      <c r="U73" s="885"/>
      <c r="V73" s="293" t="s">
        <v>471</v>
      </c>
      <c r="W73" s="299"/>
      <c r="X73" s="300"/>
      <c r="Y73" s="299"/>
      <c r="Z73" s="300"/>
      <c r="AA73" s="913"/>
      <c r="AB73" s="321"/>
    </row>
    <row r="74" spans="20:28" ht="13" hidden="1" x14ac:dyDescent="0.25">
      <c r="T74" s="913"/>
      <c r="U74" s="885"/>
      <c r="V74" s="313" t="s">
        <v>475</v>
      </c>
      <c r="W74" s="296"/>
      <c r="X74" s="297"/>
      <c r="Y74" s="296"/>
      <c r="Z74" s="297"/>
      <c r="AA74" s="913"/>
      <c r="AB74" s="321"/>
    </row>
    <row r="75" spans="20:28" ht="13" hidden="1" x14ac:dyDescent="0.25">
      <c r="T75" s="913"/>
      <c r="U75" s="885"/>
      <c r="V75" s="293" t="s">
        <v>476</v>
      </c>
      <c r="W75" s="299"/>
      <c r="X75" s="300"/>
      <c r="Y75" s="299"/>
      <c r="Z75" s="300"/>
      <c r="AA75" s="913"/>
      <c r="AB75" s="321"/>
    </row>
    <row r="76" spans="20:28" ht="13" hidden="1" x14ac:dyDescent="0.25">
      <c r="T76" s="913"/>
      <c r="U76" s="886"/>
      <c r="V76" s="313" t="s">
        <v>477</v>
      </c>
      <c r="W76" s="296"/>
      <c r="X76" s="297"/>
      <c r="Y76" s="296"/>
      <c r="Z76" s="297"/>
      <c r="AA76" s="913"/>
      <c r="AB76" s="321"/>
    </row>
    <row r="77" spans="20:28" hidden="1" x14ac:dyDescent="0.25">
      <c r="T77" s="913"/>
      <c r="U77" s="887"/>
      <c r="V77" s="796"/>
      <c r="W77" s="796"/>
      <c r="X77" s="796"/>
      <c r="Y77" s="796"/>
      <c r="Z77" s="796"/>
      <c r="AA77" s="913"/>
      <c r="AB77" s="321"/>
    </row>
    <row r="78" spans="20:28" ht="13" hidden="1" x14ac:dyDescent="0.25">
      <c r="T78" s="913"/>
      <c r="U78" s="884" t="s">
        <v>465</v>
      </c>
      <c r="V78" s="319" t="s">
        <v>474</v>
      </c>
      <c r="W78" s="296"/>
      <c r="X78" s="297"/>
      <c r="Y78" s="296"/>
      <c r="Z78" s="297"/>
      <c r="AA78" s="913"/>
      <c r="AB78" s="321"/>
    </row>
    <row r="79" spans="20:28" ht="13" hidden="1" x14ac:dyDescent="0.25">
      <c r="T79" s="913"/>
      <c r="U79" s="885"/>
      <c r="V79" s="293" t="s">
        <v>483</v>
      </c>
      <c r="W79" s="299"/>
      <c r="X79" s="300"/>
      <c r="Y79" s="299"/>
      <c r="Z79" s="300"/>
      <c r="AA79" s="913"/>
      <c r="AB79" s="321"/>
    </row>
    <row r="80" spans="20:28" ht="13" hidden="1" x14ac:dyDescent="0.25">
      <c r="T80" s="913"/>
      <c r="U80" s="885"/>
      <c r="V80" s="313" t="s">
        <v>472</v>
      </c>
      <c r="W80" s="296"/>
      <c r="X80" s="297"/>
      <c r="Y80" s="296"/>
      <c r="Z80" s="297"/>
      <c r="AA80" s="913"/>
      <c r="AB80" s="321"/>
    </row>
    <row r="81" spans="20:28" ht="13" hidden="1" x14ac:dyDescent="0.25">
      <c r="T81" s="913"/>
      <c r="U81" s="885"/>
      <c r="V81" s="293" t="s">
        <v>475</v>
      </c>
      <c r="W81" s="299"/>
      <c r="X81" s="300"/>
      <c r="Y81" s="299"/>
      <c r="Z81" s="300"/>
      <c r="AA81" s="913"/>
      <c r="AB81" s="321"/>
    </row>
    <row r="82" spans="20:28" ht="13" hidden="1" x14ac:dyDescent="0.25">
      <c r="T82" s="913"/>
      <c r="U82" s="885"/>
      <c r="V82" s="313" t="s">
        <v>476</v>
      </c>
      <c r="W82" s="296"/>
      <c r="X82" s="297"/>
      <c r="Y82" s="296"/>
      <c r="Z82" s="297"/>
      <c r="AA82" s="913"/>
      <c r="AB82" s="321"/>
    </row>
    <row r="83" spans="20:28" ht="13" hidden="1" x14ac:dyDescent="0.25">
      <c r="T83" s="913"/>
      <c r="U83" s="886"/>
      <c r="V83" s="293" t="s">
        <v>477</v>
      </c>
      <c r="W83" s="299"/>
      <c r="X83" s="300"/>
      <c r="Y83" s="299"/>
      <c r="Z83" s="300"/>
      <c r="AA83" s="913"/>
      <c r="AB83" s="321"/>
    </row>
    <row r="84" spans="20:28" ht="13" hidden="1" thickBot="1" x14ac:dyDescent="0.3">
      <c r="T84" s="914"/>
      <c r="U84" s="935"/>
      <c r="V84" s="936"/>
      <c r="W84" s="936"/>
      <c r="X84" s="936"/>
      <c r="Y84" s="936"/>
      <c r="Z84" s="936"/>
      <c r="AA84" s="914"/>
      <c r="AB84" s="321"/>
    </row>
    <row r="85" spans="20:28" x14ac:dyDescent="0.25">
      <c r="AB85" s="321"/>
    </row>
    <row r="86" spans="20:28" x14ac:dyDescent="0.25">
      <c r="AB86" s="321"/>
    </row>
  </sheetData>
  <mergeCells count="77">
    <mergeCell ref="T2:AJ2"/>
    <mergeCell ref="I17:N17"/>
    <mergeCell ref="P16:S16"/>
    <mergeCell ref="P19:S19"/>
    <mergeCell ref="I35:N35"/>
    <mergeCell ref="P28:S28"/>
    <mergeCell ref="P31:S31"/>
    <mergeCell ref="P34:S34"/>
    <mergeCell ref="P22:S22"/>
    <mergeCell ref="P10:S10"/>
    <mergeCell ref="P13:S13"/>
    <mergeCell ref="I23:N23"/>
    <mergeCell ref="I26:N26"/>
    <mergeCell ref="I20:N20"/>
    <mergeCell ref="T3:T84"/>
    <mergeCell ref="P7:S7"/>
    <mergeCell ref="AB10:AB30"/>
    <mergeCell ref="B13:G13"/>
    <mergeCell ref="P25:S25"/>
    <mergeCell ref="B19:G19"/>
    <mergeCell ref="B22:G22"/>
    <mergeCell ref="I14:N14"/>
    <mergeCell ref="U69:Z69"/>
    <mergeCell ref="U70:U76"/>
    <mergeCell ref="U77:Z77"/>
    <mergeCell ref="U84:Z84"/>
    <mergeCell ref="U78:U83"/>
    <mergeCell ref="U52:U59"/>
    <mergeCell ref="U61:U68"/>
    <mergeCell ref="Y6:Z6"/>
    <mergeCell ref="U8:U18"/>
    <mergeCell ref="U6:V7"/>
    <mergeCell ref="B2:S2"/>
    <mergeCell ref="B3:D3"/>
    <mergeCell ref="B4:D4"/>
    <mergeCell ref="E3:G3"/>
    <mergeCell ref="E4:G4"/>
    <mergeCell ref="L3:N3"/>
    <mergeCell ref="H3:K3"/>
    <mergeCell ref="H4:K4"/>
    <mergeCell ref="L4:N4"/>
    <mergeCell ref="R3:S3"/>
    <mergeCell ref="R4:S4"/>
    <mergeCell ref="O3:Q3"/>
    <mergeCell ref="O4:Q4"/>
    <mergeCell ref="AJ3:AJ53"/>
    <mergeCell ref="AB32:AB52"/>
    <mergeCell ref="U36:Z36"/>
    <mergeCell ref="U37:U42"/>
    <mergeCell ref="U43:Z43"/>
    <mergeCell ref="U44:U50"/>
    <mergeCell ref="U51:Z51"/>
    <mergeCell ref="AH6:AI6"/>
    <mergeCell ref="AD6:AE6"/>
    <mergeCell ref="AF6:AG6"/>
    <mergeCell ref="U3:AI3"/>
    <mergeCell ref="U4:AI4"/>
    <mergeCell ref="AB5:AI5"/>
    <mergeCell ref="AA5:AA84"/>
    <mergeCell ref="W6:X6"/>
    <mergeCell ref="U60:Z60"/>
    <mergeCell ref="B7:G7"/>
    <mergeCell ref="B6:S6"/>
    <mergeCell ref="B5:S5"/>
    <mergeCell ref="U20:U25"/>
    <mergeCell ref="U27:U35"/>
    <mergeCell ref="U26:Z26"/>
    <mergeCell ref="I7:N7"/>
    <mergeCell ref="I11:N11"/>
    <mergeCell ref="B34:G34"/>
    <mergeCell ref="B25:G25"/>
    <mergeCell ref="B28:G28"/>
    <mergeCell ref="B31:G31"/>
    <mergeCell ref="B16:G16"/>
    <mergeCell ref="I29:N29"/>
    <mergeCell ref="I32:N32"/>
    <mergeCell ref="B10:G10"/>
  </mergeCells>
  <phoneticPr fontId="36" type="noConversion"/>
  <pageMargins left="0.7" right="0.7" top="0.75" bottom="0.75" header="0.3" footer="0.3"/>
  <pageSetup scale="4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A958-9EBF-4128-9B19-1346F329A081}">
  <dimension ref="A1:L144"/>
  <sheetViews>
    <sheetView workbookViewId="0">
      <selection activeCell="A72" sqref="A72"/>
    </sheetView>
  </sheetViews>
  <sheetFormatPr defaultColWidth="8.54296875" defaultRowHeight="12.5" x14ac:dyDescent="0.25"/>
  <cols>
    <col min="1" max="1" width="34.453125" bestFit="1" customWidth="1"/>
    <col min="2" max="2" width="12.26953125" bestFit="1" customWidth="1"/>
    <col min="3" max="7" width="29.453125" bestFit="1" customWidth="1"/>
    <col min="8" max="9" width="10.54296875" bestFit="1" customWidth="1"/>
    <col min="10" max="12" width="11.54296875" bestFit="1" customWidth="1"/>
  </cols>
  <sheetData>
    <row r="1" spans="1:12" ht="14.5" x14ac:dyDescent="0.35">
      <c r="A1" s="237" t="s">
        <v>733</v>
      </c>
      <c r="B1" s="238" t="s">
        <v>734</v>
      </c>
      <c r="C1" s="238" t="s">
        <v>735</v>
      </c>
      <c r="D1" s="238" t="s">
        <v>736</v>
      </c>
      <c r="E1" s="238" t="s">
        <v>737</v>
      </c>
      <c r="F1" s="238" t="s">
        <v>738</v>
      </c>
      <c r="G1" s="238" t="s">
        <v>739</v>
      </c>
      <c r="H1" s="238" t="s">
        <v>740</v>
      </c>
      <c r="I1" s="238" t="s">
        <v>741</v>
      </c>
      <c r="J1" s="238" t="s">
        <v>742</v>
      </c>
      <c r="K1" s="238" t="s">
        <v>743</v>
      </c>
      <c r="L1" s="239" t="s">
        <v>744</v>
      </c>
    </row>
    <row r="2" spans="1:12" ht="14.5" x14ac:dyDescent="0.35">
      <c r="A2" s="539" t="s">
        <v>745</v>
      </c>
      <c r="B2" s="543" t="s">
        <v>745</v>
      </c>
      <c r="C2" s="543" t="s">
        <v>746</v>
      </c>
      <c r="D2" s="543" t="s">
        <v>746</v>
      </c>
      <c r="E2" s="543" t="s">
        <v>746</v>
      </c>
      <c r="F2" s="543" t="s">
        <v>746</v>
      </c>
      <c r="G2" s="543" t="s">
        <v>746</v>
      </c>
      <c r="H2" s="543"/>
      <c r="I2" s="543"/>
      <c r="J2" s="543"/>
      <c r="K2" s="543"/>
      <c r="L2" s="545"/>
    </row>
    <row r="3" spans="1:12" ht="14.5" x14ac:dyDescent="0.35">
      <c r="A3" s="540" t="s">
        <v>747</v>
      </c>
      <c r="B3" s="544" t="s">
        <v>747</v>
      </c>
      <c r="C3" s="544" t="s">
        <v>747</v>
      </c>
      <c r="D3" s="544" t="s">
        <v>747</v>
      </c>
      <c r="E3" s="544" t="s">
        <v>747</v>
      </c>
      <c r="F3" s="544" t="s">
        <v>747</v>
      </c>
      <c r="G3" s="544" t="s">
        <v>747</v>
      </c>
      <c r="H3" s="544" t="s">
        <v>747</v>
      </c>
      <c r="I3" s="544" t="s">
        <v>747</v>
      </c>
      <c r="J3" s="544" t="s">
        <v>747</v>
      </c>
      <c r="K3" s="544" t="s">
        <v>747</v>
      </c>
      <c r="L3" s="546" t="s">
        <v>747</v>
      </c>
    </row>
    <row r="4" spans="1:12" ht="14.5" x14ac:dyDescent="0.35">
      <c r="A4" s="539" t="s">
        <v>748</v>
      </c>
      <c r="B4" s="543" t="s">
        <v>749</v>
      </c>
      <c r="C4" s="543" t="s">
        <v>750</v>
      </c>
      <c r="D4" s="543" t="s">
        <v>751</v>
      </c>
      <c r="E4" s="543" t="s">
        <v>752</v>
      </c>
      <c r="F4" s="543" t="s">
        <v>753</v>
      </c>
      <c r="G4" s="543" t="s">
        <v>754</v>
      </c>
      <c r="H4" s="543"/>
      <c r="I4" s="543"/>
      <c r="J4" s="543"/>
      <c r="K4" s="543"/>
      <c r="L4" s="545"/>
    </row>
    <row r="5" spans="1:12" ht="14.5" x14ac:dyDescent="0.35">
      <c r="A5" s="540" t="s">
        <v>755</v>
      </c>
      <c r="B5" s="544" t="s">
        <v>756</v>
      </c>
      <c r="C5" s="544" t="s">
        <v>1</v>
      </c>
      <c r="D5" s="544" t="s">
        <v>1</v>
      </c>
      <c r="E5" s="544" t="s">
        <v>1</v>
      </c>
      <c r="F5" s="544" t="s">
        <v>1</v>
      </c>
      <c r="G5" s="544" t="s">
        <v>1</v>
      </c>
      <c r="H5" s="544"/>
      <c r="I5" s="544"/>
      <c r="J5" s="544"/>
      <c r="K5" s="544"/>
      <c r="L5" s="546"/>
    </row>
    <row r="6" spans="1:12" ht="14.5" x14ac:dyDescent="0.35">
      <c r="A6" s="539" t="s">
        <v>757</v>
      </c>
      <c r="B6" s="543" t="s">
        <v>758</v>
      </c>
      <c r="C6" s="543" t="s">
        <v>759</v>
      </c>
      <c r="D6" s="543" t="s">
        <v>759</v>
      </c>
      <c r="E6" s="543" t="s">
        <v>759</v>
      </c>
      <c r="F6" s="543" t="s">
        <v>760</v>
      </c>
      <c r="G6" s="543" t="s">
        <v>761</v>
      </c>
      <c r="H6" s="543"/>
      <c r="I6" s="543"/>
      <c r="J6" s="543"/>
      <c r="K6" s="543"/>
      <c r="L6" s="545"/>
    </row>
    <row r="7" spans="1:12" ht="14.5" x14ac:dyDescent="0.35">
      <c r="A7" s="540" t="s">
        <v>762</v>
      </c>
      <c r="B7" s="544" t="s">
        <v>763</v>
      </c>
      <c r="C7" s="544" t="s">
        <v>764</v>
      </c>
      <c r="D7" s="544" t="s">
        <v>764</v>
      </c>
      <c r="E7" s="544" t="s">
        <v>764</v>
      </c>
      <c r="F7" s="544" t="s">
        <v>765</v>
      </c>
      <c r="G7" s="544" t="s">
        <v>766</v>
      </c>
      <c r="H7" s="544"/>
      <c r="I7" s="544"/>
      <c r="J7" s="544"/>
      <c r="K7" s="544"/>
      <c r="L7" s="546"/>
    </row>
    <row r="8" spans="1:12" ht="14.5" x14ac:dyDescent="0.35">
      <c r="A8" s="539" t="s">
        <v>767</v>
      </c>
      <c r="B8" s="543" t="s">
        <v>768</v>
      </c>
      <c r="C8" s="543" t="s">
        <v>1</v>
      </c>
      <c r="D8" s="543" t="s">
        <v>1</v>
      </c>
      <c r="E8" s="543" t="s">
        <v>1</v>
      </c>
      <c r="F8" s="543" t="s">
        <v>1</v>
      </c>
      <c r="G8" s="543" t="s">
        <v>1</v>
      </c>
      <c r="H8" s="543"/>
      <c r="I8" s="543"/>
      <c r="J8" s="543"/>
      <c r="K8" s="543"/>
      <c r="L8" s="545"/>
    </row>
    <row r="9" spans="1:12" ht="14.5" x14ac:dyDescent="0.35">
      <c r="A9" s="540" t="s">
        <v>769</v>
      </c>
      <c r="B9" s="544" t="s">
        <v>770</v>
      </c>
      <c r="C9" s="544" t="s">
        <v>759</v>
      </c>
      <c r="D9" s="544" t="s">
        <v>759</v>
      </c>
      <c r="E9" s="544" t="s">
        <v>759</v>
      </c>
      <c r="F9" s="544" t="s">
        <v>771</v>
      </c>
      <c r="G9" s="544" t="s">
        <v>772</v>
      </c>
      <c r="H9" s="544"/>
      <c r="I9" s="544"/>
      <c r="J9" s="544"/>
      <c r="K9" s="544"/>
      <c r="L9" s="546"/>
    </row>
    <row r="10" spans="1:12" ht="14.5" x14ac:dyDescent="0.35">
      <c r="A10" s="539" t="s">
        <v>773</v>
      </c>
      <c r="B10" s="543" t="s">
        <v>774</v>
      </c>
      <c r="C10" s="543" t="s">
        <v>775</v>
      </c>
      <c r="D10" s="543" t="s">
        <v>775</v>
      </c>
      <c r="E10" s="543" t="s">
        <v>775</v>
      </c>
      <c r="F10" s="543" t="s">
        <v>775</v>
      </c>
      <c r="G10" s="543" t="s">
        <v>776</v>
      </c>
      <c r="H10" s="543"/>
      <c r="I10" s="543"/>
      <c r="J10" s="543"/>
      <c r="K10" s="543"/>
      <c r="L10" s="545"/>
    </row>
    <row r="11" spans="1:12" ht="14.5" x14ac:dyDescent="0.35">
      <c r="A11" s="540" t="s">
        <v>777</v>
      </c>
      <c r="B11" s="544" t="s">
        <v>778</v>
      </c>
      <c r="C11" s="544" t="s">
        <v>1</v>
      </c>
      <c r="D11" s="544" t="s">
        <v>1</v>
      </c>
      <c r="E11" s="544" t="s">
        <v>1</v>
      </c>
      <c r="F11" s="544" t="s">
        <v>1</v>
      </c>
      <c r="G11" s="544" t="s">
        <v>1</v>
      </c>
      <c r="H11" s="544"/>
      <c r="I11" s="544"/>
      <c r="J11" s="544"/>
      <c r="K11" s="544"/>
      <c r="L11" s="546"/>
    </row>
    <row r="12" spans="1:12" ht="14.5" x14ac:dyDescent="0.35">
      <c r="A12" s="539" t="s">
        <v>779</v>
      </c>
      <c r="B12" s="543" t="s">
        <v>780</v>
      </c>
      <c r="C12" s="543" t="s">
        <v>1</v>
      </c>
      <c r="D12" s="543" t="s">
        <v>1</v>
      </c>
      <c r="E12" s="543" t="s">
        <v>1</v>
      </c>
      <c r="F12" s="543" t="s">
        <v>1</v>
      </c>
      <c r="G12" s="543" t="s">
        <v>1</v>
      </c>
      <c r="H12" s="543"/>
      <c r="I12" s="543"/>
      <c r="J12" s="543"/>
      <c r="K12" s="543"/>
      <c r="L12" s="545"/>
    </row>
    <row r="13" spans="1:12" ht="14.5" x14ac:dyDescent="0.35">
      <c r="A13" s="540" t="s">
        <v>781</v>
      </c>
      <c r="B13" s="544" t="s">
        <v>782</v>
      </c>
      <c r="C13" s="544" t="s">
        <v>764</v>
      </c>
      <c r="D13" s="544" t="s">
        <v>764</v>
      </c>
      <c r="E13" s="544" t="s">
        <v>764</v>
      </c>
      <c r="F13" s="544" t="s">
        <v>764</v>
      </c>
      <c r="G13" s="544" t="s">
        <v>783</v>
      </c>
      <c r="H13" s="544"/>
      <c r="I13" s="544"/>
      <c r="J13" s="544"/>
      <c r="K13" s="544"/>
      <c r="L13" s="546"/>
    </row>
    <row r="14" spans="1:12" ht="14.5" x14ac:dyDescent="0.35">
      <c r="A14" s="539" t="s">
        <v>784</v>
      </c>
      <c r="B14" s="543" t="s">
        <v>785</v>
      </c>
      <c r="C14" s="543" t="s">
        <v>759</v>
      </c>
      <c r="D14" s="543" t="s">
        <v>759</v>
      </c>
      <c r="E14" s="543" t="s">
        <v>759</v>
      </c>
      <c r="F14" s="543" t="s">
        <v>786</v>
      </c>
      <c r="G14" s="543" t="s">
        <v>787</v>
      </c>
      <c r="H14" s="543"/>
      <c r="I14" s="543"/>
      <c r="J14" s="543"/>
      <c r="K14" s="543"/>
      <c r="L14" s="545"/>
    </row>
    <row r="15" spans="1:12" ht="14.5" x14ac:dyDescent="0.35">
      <c r="A15" s="540"/>
      <c r="B15" s="544" t="s">
        <v>1</v>
      </c>
      <c r="C15" s="544" t="s">
        <v>775</v>
      </c>
      <c r="D15" s="544" t="s">
        <v>775</v>
      </c>
      <c r="E15" s="544" t="s">
        <v>775</v>
      </c>
      <c r="F15" s="544" t="s">
        <v>786</v>
      </c>
      <c r="G15" s="544" t="s">
        <v>772</v>
      </c>
      <c r="H15" s="544"/>
      <c r="I15" s="544"/>
      <c r="J15" s="544"/>
      <c r="K15" s="544"/>
      <c r="L15" s="546"/>
    </row>
    <row r="16" spans="1:12" ht="14.5" x14ac:dyDescent="0.35">
      <c r="A16" s="539"/>
      <c r="B16" s="543" t="s">
        <v>1</v>
      </c>
      <c r="C16" s="543" t="s">
        <v>764</v>
      </c>
      <c r="D16" s="543" t="s">
        <v>764</v>
      </c>
      <c r="E16" s="543" t="s">
        <v>764</v>
      </c>
      <c r="F16" s="543" t="s">
        <v>788</v>
      </c>
      <c r="G16" s="543" t="s">
        <v>789</v>
      </c>
      <c r="H16" s="543"/>
      <c r="I16" s="543"/>
      <c r="J16" s="543"/>
      <c r="K16" s="543"/>
      <c r="L16" s="545"/>
    </row>
    <row r="17" spans="1:12" ht="14.5" x14ac:dyDescent="0.35">
      <c r="A17" s="540"/>
      <c r="B17" s="544" t="s">
        <v>1</v>
      </c>
      <c r="C17" s="544" t="s">
        <v>759</v>
      </c>
      <c r="D17" s="544" t="s">
        <v>759</v>
      </c>
      <c r="E17" s="544" t="s">
        <v>759</v>
      </c>
      <c r="F17" s="544" t="s">
        <v>764</v>
      </c>
      <c r="G17" s="544" t="s">
        <v>761</v>
      </c>
      <c r="H17" s="544"/>
      <c r="I17" s="544"/>
      <c r="J17" s="544"/>
      <c r="K17" s="544"/>
      <c r="L17" s="546"/>
    </row>
    <row r="18" spans="1:12" ht="14.5" x14ac:dyDescent="0.35">
      <c r="A18" s="539" t="s">
        <v>790</v>
      </c>
      <c r="B18" s="543" t="s">
        <v>790</v>
      </c>
      <c r="C18" s="543" t="s">
        <v>790</v>
      </c>
      <c r="D18" s="543" t="s">
        <v>790</v>
      </c>
      <c r="E18" s="543" t="s">
        <v>790</v>
      </c>
      <c r="F18" s="543" t="s">
        <v>790</v>
      </c>
      <c r="G18" s="543" t="s">
        <v>790</v>
      </c>
      <c r="H18" s="543" t="s">
        <v>790</v>
      </c>
      <c r="I18" s="543" t="s">
        <v>790</v>
      </c>
      <c r="J18" s="543" t="s">
        <v>790</v>
      </c>
      <c r="K18" s="543" t="s">
        <v>790</v>
      </c>
      <c r="L18" s="545" t="s">
        <v>790</v>
      </c>
    </row>
    <row r="19" spans="1:12" ht="14.5" x14ac:dyDescent="0.35">
      <c r="A19" s="540" t="s">
        <v>748</v>
      </c>
      <c r="B19" s="544" t="s">
        <v>749</v>
      </c>
      <c r="C19" s="544" t="s">
        <v>750</v>
      </c>
      <c r="D19" s="544" t="s">
        <v>751</v>
      </c>
      <c r="E19" s="544" t="s">
        <v>752</v>
      </c>
      <c r="F19" s="544" t="s">
        <v>753</v>
      </c>
      <c r="G19" s="544" t="s">
        <v>754</v>
      </c>
      <c r="H19" s="544"/>
      <c r="I19" s="544"/>
      <c r="J19" s="544"/>
      <c r="K19" s="544"/>
      <c r="L19" s="546"/>
    </row>
    <row r="20" spans="1:12" ht="14.5" x14ac:dyDescent="0.35">
      <c r="A20" s="539" t="s">
        <v>791</v>
      </c>
      <c r="B20" s="543" t="s">
        <v>792</v>
      </c>
      <c r="C20" s="543" t="s">
        <v>793</v>
      </c>
      <c r="D20" s="543" t="s">
        <v>793</v>
      </c>
      <c r="E20" s="543" t="s">
        <v>793</v>
      </c>
      <c r="F20" s="543" t="s">
        <v>794</v>
      </c>
      <c r="G20" s="543" t="s">
        <v>795</v>
      </c>
      <c r="H20" s="543"/>
      <c r="I20" s="543"/>
      <c r="J20" s="543"/>
      <c r="K20" s="543"/>
      <c r="L20" s="545"/>
    </row>
    <row r="21" spans="1:12" ht="14.5" x14ac:dyDescent="0.35">
      <c r="A21" s="540" t="s">
        <v>796</v>
      </c>
      <c r="B21" s="544" t="s">
        <v>797</v>
      </c>
      <c r="C21" s="544" t="s">
        <v>798</v>
      </c>
      <c r="D21" s="544" t="s">
        <v>798</v>
      </c>
      <c r="E21" s="544" t="s">
        <v>798</v>
      </c>
      <c r="F21" s="544" t="s">
        <v>760</v>
      </c>
      <c r="G21" s="544" t="s">
        <v>799</v>
      </c>
      <c r="H21" s="544"/>
      <c r="I21" s="544"/>
      <c r="J21" s="544"/>
      <c r="K21" s="544"/>
      <c r="L21" s="546"/>
    </row>
    <row r="22" spans="1:12" ht="14.5" x14ac:dyDescent="0.35">
      <c r="A22" s="539" t="s">
        <v>800</v>
      </c>
      <c r="B22" s="543" t="s">
        <v>801</v>
      </c>
      <c r="C22" s="543" t="s">
        <v>802</v>
      </c>
      <c r="D22" s="543" t="s">
        <v>793</v>
      </c>
      <c r="E22" s="543" t="s">
        <v>771</v>
      </c>
      <c r="F22" s="543" t="s">
        <v>803</v>
      </c>
      <c r="G22" s="543" t="s">
        <v>804</v>
      </c>
      <c r="H22" s="543"/>
      <c r="I22" s="543"/>
      <c r="J22" s="543"/>
      <c r="K22" s="543"/>
      <c r="L22" s="545"/>
    </row>
    <row r="23" spans="1:12" ht="14.5" x14ac:dyDescent="0.35">
      <c r="A23" s="540" t="s">
        <v>805</v>
      </c>
      <c r="B23" s="544" t="s">
        <v>806</v>
      </c>
      <c r="C23" s="544" t="s">
        <v>759</v>
      </c>
      <c r="D23" s="544" t="s">
        <v>759</v>
      </c>
      <c r="E23" s="544" t="s">
        <v>759</v>
      </c>
      <c r="F23" s="544" t="s">
        <v>759</v>
      </c>
      <c r="G23" s="544" t="s">
        <v>807</v>
      </c>
      <c r="H23" s="544"/>
      <c r="I23" s="544"/>
      <c r="J23" s="544"/>
      <c r="K23" s="544"/>
      <c r="L23" s="546"/>
    </row>
    <row r="24" spans="1:12" ht="14.5" x14ac:dyDescent="0.35">
      <c r="A24" s="539" t="s">
        <v>808</v>
      </c>
      <c r="B24" s="543" t="s">
        <v>809</v>
      </c>
      <c r="C24" s="543" t="s">
        <v>760</v>
      </c>
      <c r="D24" s="543" t="s">
        <v>760</v>
      </c>
      <c r="E24" s="543" t="s">
        <v>760</v>
      </c>
      <c r="F24" s="543" t="s">
        <v>810</v>
      </c>
      <c r="G24" s="543" t="s">
        <v>811</v>
      </c>
      <c r="H24" s="543"/>
      <c r="I24" s="543"/>
      <c r="J24" s="543"/>
      <c r="K24" s="543"/>
      <c r="L24" s="545"/>
    </row>
    <row r="25" spans="1:12" ht="14.5" x14ac:dyDescent="0.35">
      <c r="A25" s="540" t="s">
        <v>812</v>
      </c>
      <c r="B25" s="544" t="s">
        <v>813</v>
      </c>
      <c r="C25" s="544" t="s">
        <v>814</v>
      </c>
      <c r="D25" s="544" t="s">
        <v>814</v>
      </c>
      <c r="E25" s="544" t="s">
        <v>814</v>
      </c>
      <c r="F25" s="544" t="s">
        <v>815</v>
      </c>
      <c r="G25" s="544" t="s">
        <v>816</v>
      </c>
      <c r="H25" s="544"/>
      <c r="I25" s="544"/>
      <c r="J25" s="544"/>
      <c r="K25" s="544"/>
      <c r="L25" s="546"/>
    </row>
    <row r="26" spans="1:12" ht="14.5" x14ac:dyDescent="0.35">
      <c r="A26" s="539" t="s">
        <v>817</v>
      </c>
      <c r="B26" s="543" t="s">
        <v>818</v>
      </c>
      <c r="C26" s="543" t="s">
        <v>819</v>
      </c>
      <c r="D26" s="543" t="s">
        <v>819</v>
      </c>
      <c r="E26" s="543" t="s">
        <v>819</v>
      </c>
      <c r="F26" s="543" t="s">
        <v>786</v>
      </c>
      <c r="G26" s="543" t="s">
        <v>820</v>
      </c>
      <c r="H26" s="543"/>
      <c r="I26" s="543"/>
      <c r="J26" s="543"/>
      <c r="K26" s="543"/>
      <c r="L26" s="545"/>
    </row>
    <row r="27" spans="1:12" ht="14.5" x14ac:dyDescent="0.35">
      <c r="A27" s="540" t="s">
        <v>821</v>
      </c>
      <c r="B27" s="544" t="s">
        <v>822</v>
      </c>
      <c r="C27" s="544" t="s">
        <v>802</v>
      </c>
      <c r="D27" s="544" t="s">
        <v>802</v>
      </c>
      <c r="E27" s="544" t="s">
        <v>802</v>
      </c>
      <c r="F27" s="544" t="s">
        <v>802</v>
      </c>
      <c r="G27" s="544" t="s">
        <v>823</v>
      </c>
      <c r="H27" s="544"/>
      <c r="I27" s="544"/>
      <c r="J27" s="544"/>
      <c r="K27" s="544"/>
      <c r="L27" s="546"/>
    </row>
    <row r="28" spans="1:12" ht="14.5" x14ac:dyDescent="0.35">
      <c r="A28" s="539" t="s">
        <v>824</v>
      </c>
      <c r="B28" s="543" t="s">
        <v>825</v>
      </c>
      <c r="C28" s="543" t="s">
        <v>759</v>
      </c>
      <c r="D28" s="543" t="s">
        <v>759</v>
      </c>
      <c r="E28" s="543" t="s">
        <v>759</v>
      </c>
      <c r="F28" s="543" t="s">
        <v>759</v>
      </c>
      <c r="G28" s="543" t="s">
        <v>793</v>
      </c>
      <c r="H28" s="543"/>
      <c r="I28" s="543"/>
      <c r="J28" s="543"/>
      <c r="K28" s="543"/>
      <c r="L28" s="545"/>
    </row>
    <row r="29" spans="1:12" ht="14.5" x14ac:dyDescent="0.35">
      <c r="A29" s="540" t="s">
        <v>826</v>
      </c>
      <c r="B29" s="544" t="s">
        <v>827</v>
      </c>
      <c r="C29" s="544" t="s">
        <v>828</v>
      </c>
      <c r="D29" s="544" t="s">
        <v>810</v>
      </c>
      <c r="E29" s="544" t="s">
        <v>810</v>
      </c>
      <c r="F29" s="544" t="s">
        <v>810</v>
      </c>
      <c r="G29" s="544" t="s">
        <v>829</v>
      </c>
      <c r="H29" s="544"/>
      <c r="I29" s="544"/>
      <c r="J29" s="544"/>
      <c r="K29" s="544"/>
      <c r="L29" s="546"/>
    </row>
    <row r="30" spans="1:12" ht="14.5" x14ac:dyDescent="0.35">
      <c r="A30" s="539" t="s">
        <v>830</v>
      </c>
      <c r="B30" s="543" t="s">
        <v>831</v>
      </c>
      <c r="C30" s="543" t="s">
        <v>759</v>
      </c>
      <c r="D30" s="543" t="s">
        <v>759</v>
      </c>
      <c r="E30" s="543" t="s">
        <v>759</v>
      </c>
      <c r="F30" s="543" t="s">
        <v>832</v>
      </c>
      <c r="G30" s="543" t="s">
        <v>833</v>
      </c>
      <c r="H30" s="543"/>
      <c r="I30" s="543"/>
      <c r="J30" s="543"/>
      <c r="K30" s="543"/>
      <c r="L30" s="545"/>
    </row>
    <row r="31" spans="1:12" ht="14.5" x14ac:dyDescent="0.35">
      <c r="A31" s="540"/>
      <c r="B31" s="544" t="s">
        <v>1</v>
      </c>
      <c r="C31" s="544" t="s">
        <v>814</v>
      </c>
      <c r="D31" s="544" t="s">
        <v>814</v>
      </c>
      <c r="E31" s="544" t="s">
        <v>814</v>
      </c>
      <c r="F31" s="544" t="s">
        <v>832</v>
      </c>
      <c r="G31" s="544" t="s">
        <v>795</v>
      </c>
      <c r="H31" s="544"/>
      <c r="I31" s="544"/>
      <c r="J31" s="544"/>
      <c r="K31" s="544"/>
      <c r="L31" s="546"/>
    </row>
    <row r="32" spans="1:12" ht="14.5" x14ac:dyDescent="0.35">
      <c r="A32" s="539"/>
      <c r="B32" s="543" t="s">
        <v>1</v>
      </c>
      <c r="C32" s="543" t="s">
        <v>828</v>
      </c>
      <c r="D32" s="543" t="s">
        <v>828</v>
      </c>
      <c r="E32" s="543" t="s">
        <v>828</v>
      </c>
      <c r="F32" s="543" t="s">
        <v>834</v>
      </c>
      <c r="G32" s="543" t="s">
        <v>835</v>
      </c>
      <c r="H32" s="543"/>
      <c r="I32" s="543"/>
      <c r="J32" s="543"/>
      <c r="K32" s="543"/>
      <c r="L32" s="545"/>
    </row>
    <row r="33" spans="1:12" ht="14.5" x14ac:dyDescent="0.35">
      <c r="A33" s="540"/>
      <c r="B33" s="544" t="s">
        <v>1</v>
      </c>
      <c r="C33" s="544" t="s">
        <v>759</v>
      </c>
      <c r="D33" s="544" t="s">
        <v>759</v>
      </c>
      <c r="E33" s="544" t="s">
        <v>759</v>
      </c>
      <c r="F33" s="544" t="s">
        <v>759</v>
      </c>
      <c r="G33" s="544" t="s">
        <v>793</v>
      </c>
      <c r="H33" s="544"/>
      <c r="I33" s="544"/>
      <c r="J33" s="544"/>
      <c r="K33" s="544"/>
      <c r="L33" s="546"/>
    </row>
    <row r="34" spans="1:12" ht="14.5" x14ac:dyDescent="0.35">
      <c r="A34" s="539" t="s">
        <v>836</v>
      </c>
      <c r="B34" s="543" t="s">
        <v>836</v>
      </c>
      <c r="C34" s="543" t="s">
        <v>836</v>
      </c>
      <c r="D34" s="543" t="s">
        <v>836</v>
      </c>
      <c r="E34" s="543" t="s">
        <v>836</v>
      </c>
      <c r="F34" s="543" t="s">
        <v>836</v>
      </c>
      <c r="G34" s="543" t="s">
        <v>836</v>
      </c>
      <c r="H34" s="543" t="s">
        <v>836</v>
      </c>
      <c r="I34" s="543" t="s">
        <v>836</v>
      </c>
      <c r="J34" s="543" t="s">
        <v>836</v>
      </c>
      <c r="K34" s="543" t="s">
        <v>836</v>
      </c>
      <c r="L34" s="545" t="s">
        <v>836</v>
      </c>
    </row>
    <row r="35" spans="1:12" ht="14.5" x14ac:dyDescent="0.35">
      <c r="A35" s="540" t="s">
        <v>748</v>
      </c>
      <c r="B35" s="544" t="s">
        <v>749</v>
      </c>
      <c r="C35" s="544" t="s">
        <v>750</v>
      </c>
      <c r="D35" s="544" t="s">
        <v>751</v>
      </c>
      <c r="E35" s="544" t="s">
        <v>752</v>
      </c>
      <c r="F35" s="544" t="s">
        <v>753</v>
      </c>
      <c r="G35" s="544" t="s">
        <v>754</v>
      </c>
      <c r="H35" s="544"/>
      <c r="I35" s="544"/>
      <c r="J35" s="544"/>
      <c r="K35" s="544"/>
      <c r="L35" s="546"/>
    </row>
    <row r="36" spans="1:12" ht="14.5" x14ac:dyDescent="0.35">
      <c r="A36" s="539" t="s">
        <v>837</v>
      </c>
      <c r="B36" s="543" t="s">
        <v>838</v>
      </c>
      <c r="C36" s="543" t="s">
        <v>771</v>
      </c>
      <c r="D36" s="543" t="s">
        <v>839</v>
      </c>
      <c r="E36" s="543" t="s">
        <v>839</v>
      </c>
      <c r="F36" s="543" t="s">
        <v>840</v>
      </c>
      <c r="G36" s="543" t="s">
        <v>841</v>
      </c>
      <c r="H36" s="543"/>
      <c r="I36" s="543"/>
      <c r="J36" s="543"/>
      <c r="K36" s="543"/>
      <c r="L36" s="545"/>
    </row>
    <row r="37" spans="1:12" ht="14.5" x14ac:dyDescent="0.35">
      <c r="A37" s="540" t="s">
        <v>842</v>
      </c>
      <c r="B37" s="544" t="s">
        <v>843</v>
      </c>
      <c r="C37" s="544" t="s">
        <v>775</v>
      </c>
      <c r="D37" s="544" t="s">
        <v>775</v>
      </c>
      <c r="E37" s="544" t="s">
        <v>775</v>
      </c>
      <c r="F37" s="544" t="s">
        <v>802</v>
      </c>
      <c r="G37" s="544" t="s">
        <v>823</v>
      </c>
      <c r="H37" s="544"/>
      <c r="I37" s="544"/>
      <c r="J37" s="544"/>
      <c r="K37" s="544"/>
      <c r="L37" s="546"/>
    </row>
    <row r="38" spans="1:12" ht="14.5" x14ac:dyDescent="0.35">
      <c r="A38" s="539" t="s">
        <v>844</v>
      </c>
      <c r="B38" s="543" t="s">
        <v>845</v>
      </c>
      <c r="C38" s="543" t="s">
        <v>759</v>
      </c>
      <c r="D38" s="543" t="s">
        <v>759</v>
      </c>
      <c r="E38" s="543" t="s">
        <v>759</v>
      </c>
      <c r="F38" s="543" t="s">
        <v>775</v>
      </c>
      <c r="G38" s="543" t="s">
        <v>846</v>
      </c>
      <c r="H38" s="543"/>
      <c r="I38" s="543"/>
      <c r="J38" s="543"/>
      <c r="K38" s="543"/>
      <c r="L38" s="545"/>
    </row>
    <row r="39" spans="1:12" ht="14.5" x14ac:dyDescent="0.35">
      <c r="A39" s="540" t="s">
        <v>847</v>
      </c>
      <c r="B39" s="544" t="s">
        <v>848</v>
      </c>
      <c r="C39" s="544" t="s">
        <v>759</v>
      </c>
      <c r="D39" s="544" t="s">
        <v>764</v>
      </c>
      <c r="E39" s="544" t="s">
        <v>764</v>
      </c>
      <c r="F39" s="544" t="s">
        <v>771</v>
      </c>
      <c r="G39" s="544" t="s">
        <v>849</v>
      </c>
      <c r="H39" s="544"/>
      <c r="I39" s="544"/>
      <c r="J39" s="544"/>
      <c r="K39" s="544"/>
      <c r="L39" s="546"/>
    </row>
    <row r="40" spans="1:12" ht="14.5" x14ac:dyDescent="0.35">
      <c r="A40" s="539" t="s">
        <v>850</v>
      </c>
      <c r="B40" s="543" t="s">
        <v>851</v>
      </c>
      <c r="C40" s="543" t="s">
        <v>759</v>
      </c>
      <c r="D40" s="543" t="s">
        <v>759</v>
      </c>
      <c r="E40" s="543" t="s">
        <v>759</v>
      </c>
      <c r="F40" s="543" t="s">
        <v>759</v>
      </c>
      <c r="G40" s="543" t="s">
        <v>852</v>
      </c>
      <c r="H40" s="543"/>
      <c r="I40" s="543"/>
      <c r="J40" s="543"/>
      <c r="K40" s="543"/>
      <c r="L40" s="545"/>
    </row>
    <row r="41" spans="1:12" ht="14.5" x14ac:dyDescent="0.35">
      <c r="A41" s="540" t="s">
        <v>853</v>
      </c>
      <c r="B41" s="544" t="s">
        <v>854</v>
      </c>
      <c r="C41" s="544" t="s">
        <v>855</v>
      </c>
      <c r="D41" s="544" t="s">
        <v>856</v>
      </c>
      <c r="E41" s="544" t="s">
        <v>856</v>
      </c>
      <c r="F41" s="544" t="s">
        <v>857</v>
      </c>
      <c r="G41" s="544" t="s">
        <v>858</v>
      </c>
      <c r="H41" s="544"/>
      <c r="I41" s="544"/>
      <c r="J41" s="544"/>
      <c r="K41" s="544"/>
      <c r="L41" s="546"/>
    </row>
    <row r="42" spans="1:12" ht="14.5" x14ac:dyDescent="0.35">
      <c r="A42" s="539" t="s">
        <v>859</v>
      </c>
      <c r="B42" s="543" t="s">
        <v>860</v>
      </c>
      <c r="C42" s="543" t="s">
        <v>765</v>
      </c>
      <c r="D42" s="543" t="s">
        <v>760</v>
      </c>
      <c r="E42" s="543" t="s">
        <v>760</v>
      </c>
      <c r="F42" s="543" t="s">
        <v>771</v>
      </c>
      <c r="G42" s="543" t="s">
        <v>861</v>
      </c>
      <c r="H42" s="543"/>
      <c r="I42" s="543"/>
      <c r="J42" s="543"/>
      <c r="K42" s="543"/>
      <c r="L42" s="545"/>
    </row>
    <row r="43" spans="1:12" ht="14.5" x14ac:dyDescent="0.35">
      <c r="A43" s="540" t="s">
        <v>862</v>
      </c>
      <c r="B43" s="544" t="s">
        <v>863</v>
      </c>
      <c r="C43" s="544" t="s">
        <v>759</v>
      </c>
      <c r="D43" s="544" t="s">
        <v>759</v>
      </c>
      <c r="E43" s="544" t="s">
        <v>759</v>
      </c>
      <c r="F43" s="544" t="s">
        <v>864</v>
      </c>
      <c r="G43" s="544" t="s">
        <v>865</v>
      </c>
      <c r="H43" s="544"/>
      <c r="I43" s="544"/>
      <c r="J43" s="544"/>
      <c r="K43" s="544"/>
      <c r="L43" s="546"/>
    </row>
    <row r="44" spans="1:12" ht="14.5" x14ac:dyDescent="0.35">
      <c r="A44" s="539" t="s">
        <v>866</v>
      </c>
      <c r="B44" s="543" t="s">
        <v>867</v>
      </c>
      <c r="C44" s="543" t="s">
        <v>759</v>
      </c>
      <c r="D44" s="543" t="s">
        <v>759</v>
      </c>
      <c r="E44" s="543" t="s">
        <v>759</v>
      </c>
      <c r="F44" s="543" t="s">
        <v>759</v>
      </c>
      <c r="G44" s="543" t="s">
        <v>868</v>
      </c>
      <c r="H44" s="543"/>
      <c r="I44" s="543"/>
      <c r="J44" s="543"/>
      <c r="K44" s="543"/>
      <c r="L44" s="545"/>
    </row>
    <row r="45" spans="1:12" ht="14.5" x14ac:dyDescent="0.35">
      <c r="A45" s="540" t="s">
        <v>869</v>
      </c>
      <c r="B45" s="544" t="s">
        <v>870</v>
      </c>
      <c r="C45" s="544" t="s">
        <v>759</v>
      </c>
      <c r="D45" s="544" t="s">
        <v>765</v>
      </c>
      <c r="E45" s="544" t="s">
        <v>765</v>
      </c>
      <c r="F45" s="544" t="s">
        <v>871</v>
      </c>
      <c r="G45" s="544" t="s">
        <v>872</v>
      </c>
      <c r="H45" s="544"/>
      <c r="I45" s="544"/>
      <c r="J45" s="544"/>
      <c r="K45" s="544"/>
      <c r="L45" s="546"/>
    </row>
    <row r="46" spans="1:12" ht="14.5" x14ac:dyDescent="0.35">
      <c r="A46" s="539" t="s">
        <v>873</v>
      </c>
      <c r="B46" s="543" t="s">
        <v>874</v>
      </c>
      <c r="C46" s="543" t="s">
        <v>875</v>
      </c>
      <c r="D46" s="543" t="s">
        <v>864</v>
      </c>
      <c r="E46" s="543" t="s">
        <v>864</v>
      </c>
      <c r="F46" s="543" t="s">
        <v>876</v>
      </c>
      <c r="G46" s="543" t="s">
        <v>877</v>
      </c>
      <c r="H46" s="543"/>
      <c r="I46" s="543"/>
      <c r="J46" s="543"/>
      <c r="K46" s="543"/>
      <c r="L46" s="545"/>
    </row>
    <row r="47" spans="1:12" ht="14.5" x14ac:dyDescent="0.35">
      <c r="A47" s="540" t="s">
        <v>878</v>
      </c>
      <c r="B47" s="544" t="s">
        <v>879</v>
      </c>
      <c r="C47" s="544" t="s">
        <v>759</v>
      </c>
      <c r="D47" s="544" t="s">
        <v>759</v>
      </c>
      <c r="E47" s="544" t="s">
        <v>759</v>
      </c>
      <c r="F47" s="544" t="s">
        <v>798</v>
      </c>
      <c r="G47" s="544" t="s">
        <v>823</v>
      </c>
      <c r="H47" s="544"/>
      <c r="I47" s="544"/>
      <c r="J47" s="544"/>
      <c r="K47" s="544"/>
      <c r="L47" s="546"/>
    </row>
    <row r="48" spans="1:12" ht="14.5" x14ac:dyDescent="0.35">
      <c r="A48" s="539" t="s">
        <v>880</v>
      </c>
      <c r="B48" s="543" t="s">
        <v>881</v>
      </c>
      <c r="C48" s="543" t="s">
        <v>764</v>
      </c>
      <c r="D48" s="543" t="s">
        <v>760</v>
      </c>
      <c r="E48" s="543" t="s">
        <v>760</v>
      </c>
      <c r="F48" s="543" t="s">
        <v>882</v>
      </c>
      <c r="G48" s="543" t="s">
        <v>883</v>
      </c>
      <c r="H48" s="543"/>
      <c r="I48" s="543"/>
      <c r="J48" s="543"/>
      <c r="K48" s="543"/>
      <c r="L48" s="545"/>
    </row>
    <row r="49" spans="1:12" ht="14.5" x14ac:dyDescent="0.35">
      <c r="A49" s="540" t="s">
        <v>884</v>
      </c>
      <c r="B49" s="544" t="s">
        <v>885</v>
      </c>
      <c r="C49" s="544" t="s">
        <v>793</v>
      </c>
      <c r="D49" s="544" t="s">
        <v>815</v>
      </c>
      <c r="E49" s="544" t="s">
        <v>840</v>
      </c>
      <c r="F49" s="544" t="s">
        <v>886</v>
      </c>
      <c r="G49" s="544" t="s">
        <v>887</v>
      </c>
      <c r="H49" s="544"/>
      <c r="I49" s="544"/>
      <c r="J49" s="544"/>
      <c r="K49" s="544"/>
      <c r="L49" s="546"/>
    </row>
    <row r="50" spans="1:12" ht="14.5" x14ac:dyDescent="0.35">
      <c r="A50" s="539"/>
      <c r="B50" s="543" t="s">
        <v>1</v>
      </c>
      <c r="C50" s="543" t="s">
        <v>771</v>
      </c>
      <c r="D50" s="543" t="s">
        <v>815</v>
      </c>
      <c r="E50" s="543" t="s">
        <v>840</v>
      </c>
      <c r="F50" s="543" t="s">
        <v>886</v>
      </c>
      <c r="G50" s="543" t="s">
        <v>852</v>
      </c>
      <c r="H50" s="543"/>
      <c r="I50" s="543"/>
      <c r="J50" s="543"/>
      <c r="K50" s="543"/>
      <c r="L50" s="545"/>
    </row>
    <row r="51" spans="1:12" ht="14.5" x14ac:dyDescent="0.35">
      <c r="A51" s="540"/>
      <c r="B51" s="544" t="s">
        <v>1</v>
      </c>
      <c r="C51" s="544" t="s">
        <v>819</v>
      </c>
      <c r="D51" s="544" t="s">
        <v>871</v>
      </c>
      <c r="E51" s="544" t="s">
        <v>871</v>
      </c>
      <c r="F51" s="544" t="s">
        <v>834</v>
      </c>
      <c r="G51" s="544" t="s">
        <v>888</v>
      </c>
      <c r="H51" s="544"/>
      <c r="I51" s="544"/>
      <c r="J51" s="544"/>
      <c r="K51" s="544"/>
      <c r="L51" s="546"/>
    </row>
    <row r="52" spans="1:12" ht="14.5" x14ac:dyDescent="0.35">
      <c r="A52" s="539"/>
      <c r="B52" s="543" t="s">
        <v>1</v>
      </c>
      <c r="C52" s="543" t="s">
        <v>759</v>
      </c>
      <c r="D52" s="543" t="s">
        <v>759</v>
      </c>
      <c r="E52" s="543" t="s">
        <v>759</v>
      </c>
      <c r="F52" s="543" t="s">
        <v>759</v>
      </c>
      <c r="G52" s="543" t="s">
        <v>865</v>
      </c>
      <c r="H52" s="543"/>
      <c r="I52" s="543"/>
      <c r="J52" s="543"/>
      <c r="K52" s="543"/>
      <c r="L52" s="545"/>
    </row>
    <row r="53" spans="1:12" ht="14.5" x14ac:dyDescent="0.35">
      <c r="A53" s="540" t="s">
        <v>889</v>
      </c>
      <c r="B53" s="544" t="s">
        <v>889</v>
      </c>
      <c r="C53" s="544" t="s">
        <v>889</v>
      </c>
      <c r="D53" s="544" t="s">
        <v>889</v>
      </c>
      <c r="E53" s="544" t="s">
        <v>889</v>
      </c>
      <c r="F53" s="544" t="s">
        <v>889</v>
      </c>
      <c r="G53" s="544" t="s">
        <v>889</v>
      </c>
      <c r="H53" s="544" t="s">
        <v>889</v>
      </c>
      <c r="I53" s="544" t="s">
        <v>889</v>
      </c>
      <c r="J53" s="544" t="s">
        <v>889</v>
      </c>
      <c r="K53" s="544" t="s">
        <v>889</v>
      </c>
      <c r="L53" s="546" t="s">
        <v>889</v>
      </c>
    </row>
    <row r="54" spans="1:12" ht="14.5" x14ac:dyDescent="0.35">
      <c r="A54" s="539" t="s">
        <v>748</v>
      </c>
      <c r="B54" s="543" t="s">
        <v>749</v>
      </c>
      <c r="C54" s="543" t="s">
        <v>750</v>
      </c>
      <c r="D54" s="543" t="s">
        <v>751</v>
      </c>
      <c r="E54" s="543" t="s">
        <v>752</v>
      </c>
      <c r="F54" s="543" t="s">
        <v>753</v>
      </c>
      <c r="G54" s="543" t="s">
        <v>754</v>
      </c>
      <c r="H54" s="543"/>
      <c r="I54" s="543"/>
      <c r="J54" s="543"/>
      <c r="K54" s="543"/>
      <c r="L54" s="545"/>
    </row>
    <row r="55" spans="1:12" ht="14.5" x14ac:dyDescent="0.35">
      <c r="A55" s="540" t="s">
        <v>890</v>
      </c>
      <c r="B55" s="544" t="s">
        <v>891</v>
      </c>
      <c r="C55" s="544" t="s">
        <v>875</v>
      </c>
      <c r="D55" s="544" t="s">
        <v>875</v>
      </c>
      <c r="E55" s="544" t="s">
        <v>875</v>
      </c>
      <c r="F55" s="544" t="s">
        <v>786</v>
      </c>
      <c r="G55" s="544" t="s">
        <v>865</v>
      </c>
      <c r="H55" s="544"/>
      <c r="I55" s="544"/>
      <c r="J55" s="544"/>
      <c r="K55" s="544"/>
      <c r="L55" s="546"/>
    </row>
    <row r="56" spans="1:12" ht="14.5" x14ac:dyDescent="0.35">
      <c r="A56" s="539" t="s">
        <v>892</v>
      </c>
      <c r="B56" s="543" t="s">
        <v>893</v>
      </c>
      <c r="C56" s="543" t="s">
        <v>894</v>
      </c>
      <c r="D56" s="543" t="s">
        <v>894</v>
      </c>
      <c r="E56" s="543" t="s">
        <v>895</v>
      </c>
      <c r="F56" s="543" t="s">
        <v>896</v>
      </c>
      <c r="G56" s="543" t="s">
        <v>897</v>
      </c>
      <c r="H56" s="543"/>
      <c r="I56" s="543"/>
      <c r="J56" s="543"/>
      <c r="K56" s="543"/>
      <c r="L56" s="545"/>
    </row>
    <row r="57" spans="1:12" ht="14.5" x14ac:dyDescent="0.35">
      <c r="A57" s="540" t="s">
        <v>898</v>
      </c>
      <c r="B57" s="544" t="s">
        <v>899</v>
      </c>
      <c r="C57" s="544" t="s">
        <v>900</v>
      </c>
      <c r="D57" s="544" t="s">
        <v>900</v>
      </c>
      <c r="E57" s="544" t="s">
        <v>900</v>
      </c>
      <c r="F57" s="544" t="s">
        <v>901</v>
      </c>
      <c r="G57" s="544" t="s">
        <v>816</v>
      </c>
      <c r="H57" s="544"/>
      <c r="I57" s="544"/>
      <c r="J57" s="544"/>
      <c r="K57" s="544"/>
      <c r="L57" s="546"/>
    </row>
    <row r="58" spans="1:12" ht="14.5" x14ac:dyDescent="0.35">
      <c r="A58" s="539" t="s">
        <v>902</v>
      </c>
      <c r="B58" s="543" t="s">
        <v>903</v>
      </c>
      <c r="C58" s="543" t="s">
        <v>765</v>
      </c>
      <c r="D58" s="543" t="s">
        <v>904</v>
      </c>
      <c r="E58" s="543" t="s">
        <v>904</v>
      </c>
      <c r="F58" s="543" t="s">
        <v>905</v>
      </c>
      <c r="G58" s="543" t="s">
        <v>888</v>
      </c>
      <c r="H58" s="543"/>
      <c r="I58" s="543"/>
      <c r="J58" s="543"/>
      <c r="K58" s="543"/>
      <c r="L58" s="545"/>
    </row>
    <row r="59" spans="1:12" ht="14.5" x14ac:dyDescent="0.35">
      <c r="A59" s="540" t="s">
        <v>906</v>
      </c>
      <c r="B59" s="544" t="s">
        <v>907</v>
      </c>
      <c r="C59" s="544" t="s">
        <v>895</v>
      </c>
      <c r="D59" s="544" t="s">
        <v>882</v>
      </c>
      <c r="E59" s="544" t="s">
        <v>882</v>
      </c>
      <c r="F59" s="544" t="s">
        <v>908</v>
      </c>
      <c r="G59" s="544" t="s">
        <v>909</v>
      </c>
      <c r="H59" s="544"/>
      <c r="I59" s="544"/>
      <c r="J59" s="544"/>
      <c r="K59" s="544"/>
      <c r="L59" s="546"/>
    </row>
    <row r="60" spans="1:12" ht="14.5" x14ac:dyDescent="0.35">
      <c r="A60" s="539" t="s">
        <v>910</v>
      </c>
      <c r="B60" s="543" t="s">
        <v>911</v>
      </c>
      <c r="C60" s="543" t="s">
        <v>894</v>
      </c>
      <c r="D60" s="543" t="s">
        <v>912</v>
      </c>
      <c r="E60" s="543" t="s">
        <v>912</v>
      </c>
      <c r="F60" s="543" t="s">
        <v>904</v>
      </c>
      <c r="G60" s="543" t="s">
        <v>913</v>
      </c>
      <c r="H60" s="543"/>
      <c r="I60" s="543"/>
      <c r="J60" s="543"/>
      <c r="K60" s="543"/>
      <c r="L60" s="545"/>
    </row>
    <row r="61" spans="1:12" ht="14.5" x14ac:dyDescent="0.35">
      <c r="A61" s="540" t="s">
        <v>914</v>
      </c>
      <c r="B61" s="544" t="s">
        <v>915</v>
      </c>
      <c r="C61" s="544" t="s">
        <v>894</v>
      </c>
      <c r="D61" s="544" t="s">
        <v>894</v>
      </c>
      <c r="E61" s="544" t="s">
        <v>894</v>
      </c>
      <c r="F61" s="544" t="s">
        <v>916</v>
      </c>
      <c r="G61" s="544" t="s">
        <v>917</v>
      </c>
      <c r="H61" s="544"/>
      <c r="I61" s="544"/>
      <c r="J61" s="544"/>
      <c r="K61" s="544"/>
      <c r="L61" s="546"/>
    </row>
    <row r="62" spans="1:12" ht="14.5" x14ac:dyDescent="0.35">
      <c r="A62" s="539" t="s">
        <v>918</v>
      </c>
      <c r="B62" s="543" t="s">
        <v>919</v>
      </c>
      <c r="C62" s="543" t="s">
        <v>920</v>
      </c>
      <c r="D62" s="543" t="s">
        <v>920</v>
      </c>
      <c r="E62" s="543" t="s">
        <v>920</v>
      </c>
      <c r="F62" s="543" t="s">
        <v>921</v>
      </c>
      <c r="G62" s="543" t="s">
        <v>922</v>
      </c>
      <c r="H62" s="543"/>
      <c r="I62" s="543"/>
      <c r="J62" s="543"/>
      <c r="K62" s="543"/>
      <c r="L62" s="545"/>
    </row>
    <row r="63" spans="1:12" ht="14.5" x14ac:dyDescent="0.35">
      <c r="A63" s="540" t="s">
        <v>923</v>
      </c>
      <c r="B63" s="544" t="s">
        <v>924</v>
      </c>
      <c r="C63" s="544" t="s">
        <v>814</v>
      </c>
      <c r="D63" s="544" t="s">
        <v>814</v>
      </c>
      <c r="E63" s="544" t="s">
        <v>814</v>
      </c>
      <c r="F63" s="544" t="s">
        <v>925</v>
      </c>
      <c r="G63" s="544" t="s">
        <v>811</v>
      </c>
      <c r="H63" s="544"/>
      <c r="I63" s="544"/>
      <c r="J63" s="544"/>
      <c r="K63" s="544"/>
      <c r="L63" s="546"/>
    </row>
    <row r="64" spans="1:12" ht="14.5" x14ac:dyDescent="0.35">
      <c r="A64" s="539" t="s">
        <v>926</v>
      </c>
      <c r="B64" s="543" t="s">
        <v>927</v>
      </c>
      <c r="C64" s="543" t="s">
        <v>1</v>
      </c>
      <c r="D64" s="543" t="s">
        <v>1</v>
      </c>
      <c r="E64" s="543" t="s">
        <v>1</v>
      </c>
      <c r="F64" s="543" t="s">
        <v>1</v>
      </c>
      <c r="G64" s="543" t="s">
        <v>1</v>
      </c>
      <c r="H64" s="543"/>
      <c r="I64" s="543"/>
      <c r="J64" s="543"/>
      <c r="K64" s="543"/>
      <c r="L64" s="545"/>
    </row>
    <row r="65" spans="1:12" ht="14.5" x14ac:dyDescent="0.35">
      <c r="A65" s="540" t="s">
        <v>928</v>
      </c>
      <c r="B65" s="544" t="s">
        <v>929</v>
      </c>
      <c r="C65" s="544" t="s">
        <v>912</v>
      </c>
      <c r="D65" s="544" t="s">
        <v>930</v>
      </c>
      <c r="E65" s="544" t="s">
        <v>930</v>
      </c>
      <c r="F65" s="544" t="s">
        <v>840</v>
      </c>
      <c r="G65" s="544" t="s">
        <v>807</v>
      </c>
      <c r="H65" s="544"/>
      <c r="I65" s="544"/>
      <c r="J65" s="544"/>
      <c r="K65" s="544"/>
      <c r="L65" s="546"/>
    </row>
    <row r="66" spans="1:12" ht="14.5" x14ac:dyDescent="0.35">
      <c r="A66" s="539" t="s">
        <v>931</v>
      </c>
      <c r="B66" s="543" t="s">
        <v>932</v>
      </c>
      <c r="C66" s="543" t="s">
        <v>759</v>
      </c>
      <c r="D66" s="543" t="s">
        <v>759</v>
      </c>
      <c r="E66" s="543" t="s">
        <v>759</v>
      </c>
      <c r="F66" s="543" t="s">
        <v>759</v>
      </c>
      <c r="G66" s="543" t="s">
        <v>802</v>
      </c>
      <c r="H66" s="543"/>
      <c r="I66" s="543"/>
      <c r="J66" s="543"/>
      <c r="K66" s="543"/>
      <c r="L66" s="545"/>
    </row>
    <row r="67" spans="1:12" ht="14.5" x14ac:dyDescent="0.35">
      <c r="A67" s="540" t="s">
        <v>933</v>
      </c>
      <c r="B67" s="544" t="s">
        <v>934</v>
      </c>
      <c r="C67" s="544" t="s">
        <v>810</v>
      </c>
      <c r="D67" s="544" t="s">
        <v>771</v>
      </c>
      <c r="E67" s="544" t="s">
        <v>771</v>
      </c>
      <c r="F67" s="544" t="s">
        <v>856</v>
      </c>
      <c r="G67" s="544" t="s">
        <v>935</v>
      </c>
      <c r="H67" s="544"/>
      <c r="I67" s="544"/>
      <c r="J67" s="544"/>
      <c r="K67" s="544"/>
      <c r="L67" s="546"/>
    </row>
    <row r="68" spans="1:12" ht="14.5" x14ac:dyDescent="0.35">
      <c r="A68" s="539"/>
      <c r="B68" s="543" t="s">
        <v>1</v>
      </c>
      <c r="C68" s="543" t="s">
        <v>900</v>
      </c>
      <c r="D68" s="543" t="s">
        <v>900</v>
      </c>
      <c r="E68" s="543" t="s">
        <v>900</v>
      </c>
      <c r="F68" s="543" t="s">
        <v>901</v>
      </c>
      <c r="G68" s="543" t="s">
        <v>897</v>
      </c>
      <c r="H68" s="543"/>
      <c r="I68" s="543"/>
      <c r="J68" s="543"/>
      <c r="K68" s="543"/>
      <c r="L68" s="545"/>
    </row>
    <row r="69" spans="1:12" ht="14.5" x14ac:dyDescent="0.35">
      <c r="A69" s="541"/>
      <c r="B69" s="544" t="s">
        <v>1</v>
      </c>
      <c r="C69" s="544" t="s">
        <v>895</v>
      </c>
      <c r="D69" s="544" t="s">
        <v>882</v>
      </c>
      <c r="E69" s="544" t="s">
        <v>882</v>
      </c>
      <c r="F69" s="544" t="s">
        <v>840</v>
      </c>
      <c r="G69" s="544" t="s">
        <v>936</v>
      </c>
      <c r="H69" s="544"/>
      <c r="I69" s="544"/>
      <c r="J69" s="544"/>
      <c r="K69" s="544"/>
      <c r="L69" s="546"/>
    </row>
    <row r="70" spans="1:12" ht="14.5" x14ac:dyDescent="0.35">
      <c r="A70" s="539"/>
      <c r="B70" s="543" t="s">
        <v>1</v>
      </c>
      <c r="C70" s="543" t="s">
        <v>759</v>
      </c>
      <c r="D70" s="543" t="s">
        <v>759</v>
      </c>
      <c r="E70" s="543" t="s">
        <v>759</v>
      </c>
      <c r="F70" s="543" t="s">
        <v>759</v>
      </c>
      <c r="G70" s="543" t="s">
        <v>802</v>
      </c>
      <c r="H70" s="543"/>
      <c r="I70" s="543"/>
      <c r="J70" s="543"/>
      <c r="K70" s="543"/>
      <c r="L70" s="545"/>
    </row>
    <row r="71" spans="1:12" ht="14.5" x14ac:dyDescent="0.35">
      <c r="A71" s="540" t="s">
        <v>937</v>
      </c>
      <c r="B71" s="544" t="s">
        <v>937</v>
      </c>
      <c r="C71" s="544" t="s">
        <v>937</v>
      </c>
      <c r="D71" s="544" t="s">
        <v>937</v>
      </c>
      <c r="E71" s="544" t="s">
        <v>937</v>
      </c>
      <c r="F71" s="544" t="s">
        <v>937</v>
      </c>
      <c r="G71" s="544" t="s">
        <v>937</v>
      </c>
      <c r="H71" s="544" t="s">
        <v>937</v>
      </c>
      <c r="I71" s="544" t="s">
        <v>937</v>
      </c>
      <c r="J71" s="544" t="s">
        <v>937</v>
      </c>
      <c r="K71" s="544" t="s">
        <v>937</v>
      </c>
      <c r="L71" s="546" t="s">
        <v>937</v>
      </c>
    </row>
    <row r="72" spans="1:12" ht="14.5" x14ac:dyDescent="0.35">
      <c r="A72" s="542" t="s">
        <v>748</v>
      </c>
      <c r="B72" s="543" t="s">
        <v>749</v>
      </c>
      <c r="C72" s="543" t="s">
        <v>750</v>
      </c>
      <c r="D72" s="543" t="s">
        <v>751</v>
      </c>
      <c r="E72" s="543" t="s">
        <v>752</v>
      </c>
      <c r="F72" s="543" t="s">
        <v>753</v>
      </c>
      <c r="G72" s="543" t="s">
        <v>754</v>
      </c>
      <c r="H72" s="543"/>
      <c r="I72" s="543"/>
      <c r="J72" s="543"/>
      <c r="K72" s="543"/>
      <c r="L72" s="545"/>
    </row>
    <row r="73" spans="1:12" ht="14.5" x14ac:dyDescent="0.35">
      <c r="A73" s="540" t="s">
        <v>938</v>
      </c>
      <c r="B73" s="544" t="s">
        <v>939</v>
      </c>
      <c r="C73" s="544" t="s">
        <v>765</v>
      </c>
      <c r="D73" s="544" t="s">
        <v>765</v>
      </c>
      <c r="E73" s="544" t="s">
        <v>765</v>
      </c>
      <c r="F73" s="544" t="s">
        <v>940</v>
      </c>
      <c r="G73" s="544" t="s">
        <v>941</v>
      </c>
      <c r="H73" s="544"/>
      <c r="I73" s="544"/>
      <c r="J73" s="544"/>
      <c r="K73" s="544"/>
      <c r="L73" s="546"/>
    </row>
    <row r="74" spans="1:12" ht="14.5" x14ac:dyDescent="0.35">
      <c r="A74" s="539" t="s">
        <v>942</v>
      </c>
      <c r="B74" s="543" t="s">
        <v>943</v>
      </c>
      <c r="C74" s="543" t="s">
        <v>798</v>
      </c>
      <c r="D74" s="543" t="s">
        <v>798</v>
      </c>
      <c r="E74" s="543" t="s">
        <v>798</v>
      </c>
      <c r="F74" s="543" t="s">
        <v>912</v>
      </c>
      <c r="G74" s="543" t="s">
        <v>944</v>
      </c>
      <c r="H74" s="543"/>
      <c r="I74" s="543"/>
      <c r="J74" s="543"/>
      <c r="K74" s="543"/>
      <c r="L74" s="545"/>
    </row>
    <row r="75" spans="1:12" ht="14.5" x14ac:dyDescent="0.35">
      <c r="A75" s="540" t="s">
        <v>945</v>
      </c>
      <c r="B75" s="544" t="s">
        <v>946</v>
      </c>
      <c r="C75" s="544" t="s">
        <v>759</v>
      </c>
      <c r="D75" s="544" t="s">
        <v>759</v>
      </c>
      <c r="E75" s="544" t="s">
        <v>759</v>
      </c>
      <c r="F75" s="544" t="s">
        <v>759</v>
      </c>
      <c r="G75" s="544" t="s">
        <v>759</v>
      </c>
      <c r="H75" s="544"/>
      <c r="I75" s="544"/>
      <c r="J75" s="544"/>
      <c r="K75" s="544"/>
      <c r="L75" s="546"/>
    </row>
    <row r="76" spans="1:12" ht="14.5" x14ac:dyDescent="0.35">
      <c r="A76" s="539" t="s">
        <v>947</v>
      </c>
      <c r="B76" s="543" t="s">
        <v>948</v>
      </c>
      <c r="C76" s="543" t="s">
        <v>912</v>
      </c>
      <c r="D76" s="543" t="s">
        <v>912</v>
      </c>
      <c r="E76" s="543" t="s">
        <v>912</v>
      </c>
      <c r="F76" s="543" t="s">
        <v>912</v>
      </c>
      <c r="G76" s="543" t="s">
        <v>949</v>
      </c>
      <c r="H76" s="543"/>
      <c r="I76" s="543"/>
      <c r="J76" s="543"/>
      <c r="K76" s="543"/>
      <c r="L76" s="545"/>
    </row>
    <row r="77" spans="1:12" ht="14.5" x14ac:dyDescent="0.35">
      <c r="A77" s="540" t="s">
        <v>950</v>
      </c>
      <c r="B77" s="544" t="s">
        <v>951</v>
      </c>
      <c r="C77" s="544" t="s">
        <v>759</v>
      </c>
      <c r="D77" s="544" t="s">
        <v>759</v>
      </c>
      <c r="E77" s="544" t="s">
        <v>759</v>
      </c>
      <c r="F77" s="544" t="s">
        <v>798</v>
      </c>
      <c r="G77" s="544" t="s">
        <v>952</v>
      </c>
      <c r="H77" s="544"/>
      <c r="I77" s="544"/>
      <c r="J77" s="544"/>
      <c r="K77" s="544"/>
      <c r="L77" s="546"/>
    </row>
    <row r="78" spans="1:12" ht="14.5" x14ac:dyDescent="0.35">
      <c r="A78" s="539" t="s">
        <v>953</v>
      </c>
      <c r="B78" s="543" t="s">
        <v>954</v>
      </c>
      <c r="C78" s="543" t="s">
        <v>764</v>
      </c>
      <c r="D78" s="543" t="s">
        <v>764</v>
      </c>
      <c r="E78" s="543" t="s">
        <v>764</v>
      </c>
      <c r="F78" s="543" t="s">
        <v>798</v>
      </c>
      <c r="G78" s="543" t="s">
        <v>955</v>
      </c>
      <c r="H78" s="543"/>
      <c r="I78" s="543"/>
      <c r="J78" s="543"/>
      <c r="K78" s="543"/>
      <c r="L78" s="545"/>
    </row>
    <row r="79" spans="1:12" ht="14.5" x14ac:dyDescent="0.35">
      <c r="A79" s="540" t="s">
        <v>956</v>
      </c>
      <c r="B79" s="544" t="s">
        <v>957</v>
      </c>
      <c r="C79" s="544" t="s">
        <v>759</v>
      </c>
      <c r="D79" s="544" t="s">
        <v>759</v>
      </c>
      <c r="E79" s="544" t="s">
        <v>759</v>
      </c>
      <c r="F79" s="544" t="s">
        <v>855</v>
      </c>
      <c r="G79" s="544" t="s">
        <v>820</v>
      </c>
      <c r="H79" s="544"/>
      <c r="I79" s="544"/>
      <c r="J79" s="544"/>
      <c r="K79" s="544"/>
      <c r="L79" s="546"/>
    </row>
    <row r="80" spans="1:12" ht="14.5" x14ac:dyDescent="0.35">
      <c r="A80" s="539" t="s">
        <v>958</v>
      </c>
      <c r="B80" s="543" t="s">
        <v>959</v>
      </c>
      <c r="C80" s="543" t="s">
        <v>759</v>
      </c>
      <c r="D80" s="543" t="s">
        <v>759</v>
      </c>
      <c r="E80" s="543" t="s">
        <v>759</v>
      </c>
      <c r="F80" s="543" t="s">
        <v>764</v>
      </c>
      <c r="G80" s="543" t="s">
        <v>960</v>
      </c>
      <c r="H80" s="543"/>
      <c r="I80" s="543"/>
      <c r="J80" s="543"/>
      <c r="K80" s="543"/>
      <c r="L80" s="545"/>
    </row>
    <row r="81" spans="1:12" ht="14.5" x14ac:dyDescent="0.35">
      <c r="A81" s="540"/>
      <c r="B81" s="544" t="s">
        <v>1</v>
      </c>
      <c r="C81" s="544" t="s">
        <v>912</v>
      </c>
      <c r="D81" s="544" t="s">
        <v>912</v>
      </c>
      <c r="E81" s="544" t="s">
        <v>912</v>
      </c>
      <c r="F81" s="544" t="s">
        <v>912</v>
      </c>
      <c r="G81" s="544" t="s">
        <v>949</v>
      </c>
      <c r="H81" s="544"/>
      <c r="I81" s="544"/>
      <c r="J81" s="544"/>
      <c r="K81" s="544"/>
      <c r="L81" s="546"/>
    </row>
    <row r="82" spans="1:12" ht="14.5" x14ac:dyDescent="0.35">
      <c r="A82" s="539"/>
      <c r="B82" s="543" t="s">
        <v>1</v>
      </c>
      <c r="C82" s="543" t="s">
        <v>940</v>
      </c>
      <c r="D82" s="543" t="s">
        <v>940</v>
      </c>
      <c r="E82" s="543" t="s">
        <v>940</v>
      </c>
      <c r="F82" s="543" t="s">
        <v>828</v>
      </c>
      <c r="G82" s="543" t="s">
        <v>961</v>
      </c>
      <c r="H82" s="543"/>
      <c r="I82" s="543"/>
      <c r="J82" s="543"/>
      <c r="K82" s="543"/>
      <c r="L82" s="545"/>
    </row>
    <row r="83" spans="1:12" ht="14.5" x14ac:dyDescent="0.35">
      <c r="A83" s="540"/>
      <c r="B83" s="544" t="s">
        <v>1</v>
      </c>
      <c r="C83" s="544" t="s">
        <v>759</v>
      </c>
      <c r="D83" s="544" t="s">
        <v>759</v>
      </c>
      <c r="E83" s="544" t="s">
        <v>759</v>
      </c>
      <c r="F83" s="544" t="s">
        <v>759</v>
      </c>
      <c r="G83" s="544" t="s">
        <v>759</v>
      </c>
      <c r="H83" s="544"/>
      <c r="I83" s="544"/>
      <c r="J83" s="544"/>
      <c r="K83" s="544"/>
      <c r="L83" s="546"/>
    </row>
    <row r="84" spans="1:12" ht="14.5" x14ac:dyDescent="0.35">
      <c r="A84" s="539" t="s">
        <v>962</v>
      </c>
      <c r="B84" s="543" t="s">
        <v>962</v>
      </c>
      <c r="C84" s="543" t="s">
        <v>962</v>
      </c>
      <c r="D84" s="543" t="s">
        <v>962</v>
      </c>
      <c r="E84" s="543" t="s">
        <v>962</v>
      </c>
      <c r="F84" s="543" t="s">
        <v>962</v>
      </c>
      <c r="G84" s="543" t="s">
        <v>962</v>
      </c>
      <c r="H84" s="543" t="s">
        <v>962</v>
      </c>
      <c r="I84" s="543" t="s">
        <v>962</v>
      </c>
      <c r="J84" s="543" t="s">
        <v>962</v>
      </c>
      <c r="K84" s="543" t="s">
        <v>962</v>
      </c>
      <c r="L84" s="545" t="s">
        <v>962</v>
      </c>
    </row>
    <row r="85" spans="1:12" ht="14.5" x14ac:dyDescent="0.35">
      <c r="A85" s="540" t="s">
        <v>748</v>
      </c>
      <c r="B85" s="544" t="s">
        <v>749</v>
      </c>
      <c r="C85" s="544" t="s">
        <v>750</v>
      </c>
      <c r="D85" s="544" t="s">
        <v>751</v>
      </c>
      <c r="E85" s="544" t="s">
        <v>752</v>
      </c>
      <c r="F85" s="544" t="s">
        <v>753</v>
      </c>
      <c r="G85" s="544" t="s">
        <v>754</v>
      </c>
      <c r="H85" s="544"/>
      <c r="I85" s="544"/>
      <c r="J85" s="544"/>
      <c r="K85" s="544"/>
      <c r="L85" s="546"/>
    </row>
    <row r="86" spans="1:12" ht="14.5" x14ac:dyDescent="0.35">
      <c r="A86" s="539" t="s">
        <v>963</v>
      </c>
      <c r="B86" s="543" t="s">
        <v>964</v>
      </c>
      <c r="C86" s="543" t="s">
        <v>965</v>
      </c>
      <c r="D86" s="543" t="s">
        <v>965</v>
      </c>
      <c r="E86" s="543" t="s">
        <v>965</v>
      </c>
      <c r="F86" s="543" t="s">
        <v>921</v>
      </c>
      <c r="G86" s="543" t="s">
        <v>883</v>
      </c>
      <c r="H86" s="543"/>
      <c r="I86" s="543"/>
      <c r="J86" s="543"/>
      <c r="K86" s="543"/>
      <c r="L86" s="545"/>
    </row>
    <row r="87" spans="1:12" ht="14.5" x14ac:dyDescent="0.35">
      <c r="A87" s="540" t="s">
        <v>966</v>
      </c>
      <c r="B87" s="544" t="s">
        <v>967</v>
      </c>
      <c r="C87" s="544" t="s">
        <v>788</v>
      </c>
      <c r="D87" s="544" t="s">
        <v>788</v>
      </c>
      <c r="E87" s="544" t="s">
        <v>788</v>
      </c>
      <c r="F87" s="544" t="s">
        <v>788</v>
      </c>
      <c r="G87" s="544" t="s">
        <v>858</v>
      </c>
      <c r="H87" s="544"/>
      <c r="I87" s="544"/>
      <c r="J87" s="544"/>
      <c r="K87" s="544"/>
      <c r="L87" s="546"/>
    </row>
    <row r="88" spans="1:12" ht="14.5" x14ac:dyDescent="0.35">
      <c r="A88" s="539" t="s">
        <v>968</v>
      </c>
      <c r="B88" s="543" t="s">
        <v>969</v>
      </c>
      <c r="C88" s="543" t="s">
        <v>764</v>
      </c>
      <c r="D88" s="543" t="s">
        <v>764</v>
      </c>
      <c r="E88" s="543" t="s">
        <v>764</v>
      </c>
      <c r="F88" s="543" t="s">
        <v>764</v>
      </c>
      <c r="G88" s="543" t="s">
        <v>970</v>
      </c>
      <c r="H88" s="543"/>
      <c r="I88" s="543"/>
      <c r="J88" s="543"/>
      <c r="K88" s="543"/>
      <c r="L88" s="545"/>
    </row>
    <row r="89" spans="1:12" ht="14.5" x14ac:dyDescent="0.35">
      <c r="A89" s="540" t="s">
        <v>971</v>
      </c>
      <c r="B89" s="544" t="s">
        <v>972</v>
      </c>
      <c r="C89" s="544" t="s">
        <v>788</v>
      </c>
      <c r="D89" s="544" t="s">
        <v>788</v>
      </c>
      <c r="E89" s="544" t="s">
        <v>788</v>
      </c>
      <c r="F89" s="544" t="s">
        <v>839</v>
      </c>
      <c r="G89" s="544" t="s">
        <v>973</v>
      </c>
      <c r="H89" s="544"/>
      <c r="I89" s="544"/>
      <c r="J89" s="544"/>
      <c r="K89" s="544"/>
      <c r="L89" s="546"/>
    </row>
    <row r="90" spans="1:12" ht="14.5" x14ac:dyDescent="0.35">
      <c r="A90" s="539" t="s">
        <v>974</v>
      </c>
      <c r="B90" s="543" t="s">
        <v>975</v>
      </c>
      <c r="C90" s="543" t="s">
        <v>876</v>
      </c>
      <c r="D90" s="543" t="s">
        <v>876</v>
      </c>
      <c r="E90" s="543" t="s">
        <v>876</v>
      </c>
      <c r="F90" s="543" t="s">
        <v>815</v>
      </c>
      <c r="G90" s="543" t="s">
        <v>973</v>
      </c>
      <c r="H90" s="543"/>
      <c r="I90" s="543"/>
      <c r="J90" s="543"/>
      <c r="K90" s="543"/>
      <c r="L90" s="545"/>
    </row>
    <row r="91" spans="1:12" ht="14.5" x14ac:dyDescent="0.35">
      <c r="A91" s="540" t="s">
        <v>976</v>
      </c>
      <c r="B91" s="544" t="s">
        <v>977</v>
      </c>
      <c r="C91" s="544" t="s">
        <v>875</v>
      </c>
      <c r="D91" s="544" t="s">
        <v>875</v>
      </c>
      <c r="E91" s="544" t="s">
        <v>875</v>
      </c>
      <c r="F91" s="544" t="s">
        <v>771</v>
      </c>
      <c r="G91" s="544" t="s">
        <v>978</v>
      </c>
      <c r="H91" s="544"/>
      <c r="I91" s="544"/>
      <c r="J91" s="544"/>
      <c r="K91" s="544"/>
      <c r="L91" s="546"/>
    </row>
    <row r="92" spans="1:12" ht="14.5" x14ac:dyDescent="0.35">
      <c r="A92" s="539"/>
      <c r="B92" s="543" t="s">
        <v>1</v>
      </c>
      <c r="C92" s="543" t="s">
        <v>965</v>
      </c>
      <c r="D92" s="543" t="s">
        <v>965</v>
      </c>
      <c r="E92" s="543" t="s">
        <v>965</v>
      </c>
      <c r="F92" s="543" t="s">
        <v>815</v>
      </c>
      <c r="G92" s="543" t="s">
        <v>883</v>
      </c>
      <c r="H92" s="543"/>
      <c r="I92" s="543"/>
      <c r="J92" s="543"/>
      <c r="K92" s="543"/>
      <c r="L92" s="545"/>
    </row>
    <row r="93" spans="1:12" ht="14.5" x14ac:dyDescent="0.35">
      <c r="A93" s="540"/>
      <c r="B93" s="544" t="s">
        <v>1</v>
      </c>
      <c r="C93" s="544" t="s">
        <v>864</v>
      </c>
      <c r="D93" s="544" t="s">
        <v>864</v>
      </c>
      <c r="E93" s="544" t="s">
        <v>864</v>
      </c>
      <c r="F93" s="544" t="s">
        <v>834</v>
      </c>
      <c r="G93" s="544" t="s">
        <v>888</v>
      </c>
      <c r="H93" s="544"/>
      <c r="I93" s="544"/>
      <c r="J93" s="544"/>
      <c r="K93" s="544"/>
      <c r="L93" s="546"/>
    </row>
    <row r="94" spans="1:12" ht="14.5" x14ac:dyDescent="0.35">
      <c r="A94" s="539"/>
      <c r="B94" s="543" t="s">
        <v>1</v>
      </c>
      <c r="C94" s="543" t="s">
        <v>764</v>
      </c>
      <c r="D94" s="543" t="s">
        <v>764</v>
      </c>
      <c r="E94" s="543" t="s">
        <v>764</v>
      </c>
      <c r="F94" s="543" t="s">
        <v>764</v>
      </c>
      <c r="G94" s="543" t="s">
        <v>970</v>
      </c>
      <c r="H94" s="543"/>
      <c r="I94" s="543"/>
      <c r="J94" s="543"/>
      <c r="K94" s="543"/>
      <c r="L94" s="545"/>
    </row>
    <row r="95" spans="1:12" ht="14.5" x14ac:dyDescent="0.35">
      <c r="A95" s="540" t="s">
        <v>979</v>
      </c>
      <c r="B95" s="544" t="s">
        <v>979</v>
      </c>
      <c r="C95" s="544" t="s">
        <v>979</v>
      </c>
      <c r="D95" s="544" t="s">
        <v>979</v>
      </c>
      <c r="E95" s="544" t="s">
        <v>979</v>
      </c>
      <c r="F95" s="544" t="s">
        <v>979</v>
      </c>
      <c r="G95" s="544" t="s">
        <v>979</v>
      </c>
      <c r="H95" s="544" t="s">
        <v>979</v>
      </c>
      <c r="I95" s="544" t="s">
        <v>979</v>
      </c>
      <c r="J95" s="544" t="s">
        <v>979</v>
      </c>
      <c r="K95" s="544" t="s">
        <v>979</v>
      </c>
      <c r="L95" s="546" t="s">
        <v>979</v>
      </c>
    </row>
    <row r="96" spans="1:12" ht="14.5" x14ac:dyDescent="0.35">
      <c r="A96" s="539" t="s">
        <v>748</v>
      </c>
      <c r="B96" s="543" t="s">
        <v>749</v>
      </c>
      <c r="C96" s="543" t="s">
        <v>750</v>
      </c>
      <c r="D96" s="543" t="s">
        <v>751</v>
      </c>
      <c r="E96" s="543" t="s">
        <v>752</v>
      </c>
      <c r="F96" s="543" t="s">
        <v>753</v>
      </c>
      <c r="G96" s="543" t="s">
        <v>754</v>
      </c>
      <c r="H96" s="543"/>
      <c r="I96" s="543"/>
      <c r="J96" s="543"/>
      <c r="K96" s="543"/>
      <c r="L96" s="545"/>
    </row>
    <row r="97" spans="1:12" ht="14.5" x14ac:dyDescent="0.35">
      <c r="A97" s="540" t="s">
        <v>980</v>
      </c>
      <c r="B97" s="544" t="s">
        <v>981</v>
      </c>
      <c r="C97" s="544" t="s">
        <v>788</v>
      </c>
      <c r="D97" s="544" t="s">
        <v>788</v>
      </c>
      <c r="E97" s="544" t="s">
        <v>788</v>
      </c>
      <c r="F97" s="544" t="s">
        <v>788</v>
      </c>
      <c r="G97" s="544" t="s">
        <v>832</v>
      </c>
      <c r="H97" s="544"/>
      <c r="I97" s="544"/>
      <c r="J97" s="544"/>
      <c r="K97" s="544"/>
      <c r="L97" s="546"/>
    </row>
    <row r="98" spans="1:12" ht="14.5" x14ac:dyDescent="0.35">
      <c r="A98" s="539" t="s">
        <v>982</v>
      </c>
      <c r="B98" s="543" t="s">
        <v>983</v>
      </c>
      <c r="C98" s="543" t="s">
        <v>764</v>
      </c>
      <c r="D98" s="543" t="s">
        <v>764</v>
      </c>
      <c r="E98" s="543" t="s">
        <v>764</v>
      </c>
      <c r="F98" s="543" t="s">
        <v>871</v>
      </c>
      <c r="G98" s="543" t="s">
        <v>984</v>
      </c>
      <c r="H98" s="543"/>
      <c r="I98" s="543"/>
      <c r="J98" s="543"/>
      <c r="K98" s="543"/>
      <c r="L98" s="545"/>
    </row>
    <row r="99" spans="1:12" ht="14.5" x14ac:dyDescent="0.35">
      <c r="A99" s="540" t="s">
        <v>985</v>
      </c>
      <c r="B99" s="544" t="s">
        <v>986</v>
      </c>
      <c r="C99" s="544" t="s">
        <v>810</v>
      </c>
      <c r="D99" s="544" t="s">
        <v>810</v>
      </c>
      <c r="E99" s="544" t="s">
        <v>810</v>
      </c>
      <c r="F99" s="544" t="s">
        <v>771</v>
      </c>
      <c r="G99" s="544" t="s">
        <v>872</v>
      </c>
      <c r="H99" s="544"/>
      <c r="I99" s="544"/>
      <c r="J99" s="544"/>
      <c r="K99" s="544"/>
      <c r="L99" s="546"/>
    </row>
    <row r="100" spans="1:12" ht="14.5" x14ac:dyDescent="0.35">
      <c r="A100" s="539" t="s">
        <v>987</v>
      </c>
      <c r="B100" s="543" t="s">
        <v>988</v>
      </c>
      <c r="C100" s="543" t="s">
        <v>759</v>
      </c>
      <c r="D100" s="543" t="s">
        <v>759</v>
      </c>
      <c r="E100" s="543" t="s">
        <v>759</v>
      </c>
      <c r="F100" s="543" t="s">
        <v>759</v>
      </c>
      <c r="G100" s="543" t="s">
        <v>759</v>
      </c>
      <c r="H100" s="543"/>
      <c r="I100" s="543"/>
      <c r="J100" s="543"/>
      <c r="K100" s="543"/>
      <c r="L100" s="545"/>
    </row>
    <row r="101" spans="1:12" ht="14.5" x14ac:dyDescent="0.35">
      <c r="A101" s="540" t="s">
        <v>989</v>
      </c>
      <c r="B101" s="544" t="s">
        <v>990</v>
      </c>
      <c r="C101" s="544" t="s">
        <v>882</v>
      </c>
      <c r="D101" s="544" t="s">
        <v>882</v>
      </c>
      <c r="E101" s="544" t="s">
        <v>882</v>
      </c>
      <c r="F101" s="544" t="s">
        <v>991</v>
      </c>
      <c r="G101" s="544" t="s">
        <v>896</v>
      </c>
      <c r="H101" s="544"/>
      <c r="I101" s="544"/>
      <c r="J101" s="544"/>
      <c r="K101" s="544"/>
      <c r="L101" s="546"/>
    </row>
    <row r="102" spans="1:12" ht="14.5" x14ac:dyDescent="0.35">
      <c r="A102" s="539" t="s">
        <v>992</v>
      </c>
      <c r="B102" s="543" t="s">
        <v>993</v>
      </c>
      <c r="C102" s="543" t="s">
        <v>940</v>
      </c>
      <c r="D102" s="543" t="s">
        <v>940</v>
      </c>
      <c r="E102" s="543" t="s">
        <v>940</v>
      </c>
      <c r="F102" s="543" t="s">
        <v>940</v>
      </c>
      <c r="G102" s="543" t="s">
        <v>901</v>
      </c>
      <c r="H102" s="543"/>
      <c r="I102" s="543"/>
      <c r="J102" s="543"/>
      <c r="K102" s="543"/>
      <c r="L102" s="545"/>
    </row>
    <row r="103" spans="1:12" ht="14.5" x14ac:dyDescent="0.35">
      <c r="A103" s="540" t="s">
        <v>994</v>
      </c>
      <c r="B103" s="544" t="s">
        <v>995</v>
      </c>
      <c r="C103" s="544" t="s">
        <v>996</v>
      </c>
      <c r="D103" s="544" t="s">
        <v>996</v>
      </c>
      <c r="E103" s="544" t="s">
        <v>996</v>
      </c>
      <c r="F103" s="544" t="s">
        <v>930</v>
      </c>
      <c r="G103" s="544" t="s">
        <v>997</v>
      </c>
      <c r="H103" s="544"/>
      <c r="I103" s="544"/>
      <c r="J103" s="544"/>
      <c r="K103" s="544"/>
      <c r="L103" s="546"/>
    </row>
    <row r="104" spans="1:12" ht="14.5" x14ac:dyDescent="0.35">
      <c r="A104" s="539"/>
      <c r="B104" s="543" t="s">
        <v>1</v>
      </c>
      <c r="C104" s="543" t="s">
        <v>882</v>
      </c>
      <c r="D104" s="543" t="s">
        <v>882</v>
      </c>
      <c r="E104" s="543" t="s">
        <v>882</v>
      </c>
      <c r="F104" s="543" t="s">
        <v>930</v>
      </c>
      <c r="G104" s="543" t="s">
        <v>984</v>
      </c>
      <c r="H104" s="543"/>
      <c r="I104" s="543"/>
      <c r="J104" s="543"/>
      <c r="K104" s="543"/>
      <c r="L104" s="545"/>
    </row>
    <row r="105" spans="1:12" ht="14.5" x14ac:dyDescent="0.35">
      <c r="A105" s="540"/>
      <c r="B105" s="544" t="s">
        <v>1</v>
      </c>
      <c r="C105" s="544" t="s">
        <v>871</v>
      </c>
      <c r="D105" s="544" t="s">
        <v>871</v>
      </c>
      <c r="E105" s="544" t="s">
        <v>871</v>
      </c>
      <c r="F105" s="544" t="s">
        <v>802</v>
      </c>
      <c r="G105" s="544" t="s">
        <v>998</v>
      </c>
      <c r="H105" s="544"/>
      <c r="I105" s="544"/>
      <c r="J105" s="544"/>
      <c r="K105" s="544"/>
      <c r="L105" s="546"/>
    </row>
    <row r="106" spans="1:12" ht="14.5" x14ac:dyDescent="0.35">
      <c r="A106" s="539"/>
      <c r="B106" s="543" t="s">
        <v>1</v>
      </c>
      <c r="C106" s="543" t="s">
        <v>759</v>
      </c>
      <c r="D106" s="543" t="s">
        <v>759</v>
      </c>
      <c r="E106" s="543" t="s">
        <v>759</v>
      </c>
      <c r="F106" s="543" t="s">
        <v>759</v>
      </c>
      <c r="G106" s="543" t="s">
        <v>759</v>
      </c>
      <c r="H106" s="543"/>
      <c r="I106" s="543"/>
      <c r="J106" s="543"/>
      <c r="K106" s="543"/>
      <c r="L106" s="545"/>
    </row>
    <row r="107" spans="1:12" ht="14.5" x14ac:dyDescent="0.35">
      <c r="A107" s="540" t="s">
        <v>999</v>
      </c>
      <c r="B107" s="544" t="s">
        <v>999</v>
      </c>
      <c r="C107" s="544" t="s">
        <v>999</v>
      </c>
      <c r="D107" s="544" t="s">
        <v>999</v>
      </c>
      <c r="E107" s="544" t="s">
        <v>999</v>
      </c>
      <c r="F107" s="544" t="s">
        <v>999</v>
      </c>
      <c r="G107" s="544" t="s">
        <v>999</v>
      </c>
      <c r="H107" s="544" t="s">
        <v>999</v>
      </c>
      <c r="I107" s="544" t="s">
        <v>999</v>
      </c>
      <c r="J107" s="544" t="s">
        <v>999</v>
      </c>
      <c r="K107" s="544" t="s">
        <v>999</v>
      </c>
      <c r="L107" s="546" t="s">
        <v>999</v>
      </c>
    </row>
    <row r="108" spans="1:12" ht="14.5" x14ac:dyDescent="0.35">
      <c r="A108" s="539" t="s">
        <v>748</v>
      </c>
      <c r="B108" s="543" t="s">
        <v>749</v>
      </c>
      <c r="C108" s="543" t="s">
        <v>750</v>
      </c>
      <c r="D108" s="543" t="s">
        <v>751</v>
      </c>
      <c r="E108" s="543" t="s">
        <v>752</v>
      </c>
      <c r="F108" s="543" t="s">
        <v>753</v>
      </c>
      <c r="G108" s="543" t="s">
        <v>754</v>
      </c>
      <c r="H108" s="543"/>
      <c r="I108" s="543"/>
      <c r="J108" s="543"/>
      <c r="K108" s="543"/>
      <c r="L108" s="545"/>
    </row>
    <row r="109" spans="1:12" ht="14.5" x14ac:dyDescent="0.35">
      <c r="A109" s="540" t="s">
        <v>1000</v>
      </c>
      <c r="B109" s="544" t="s">
        <v>1001</v>
      </c>
      <c r="C109" s="544" t="s">
        <v>759</v>
      </c>
      <c r="D109" s="544" t="s">
        <v>759</v>
      </c>
      <c r="E109" s="544" t="s">
        <v>759</v>
      </c>
      <c r="F109" s="544" t="s">
        <v>764</v>
      </c>
      <c r="G109" s="544" t="s">
        <v>861</v>
      </c>
      <c r="H109" s="544"/>
      <c r="I109" s="544"/>
      <c r="J109" s="544"/>
      <c r="K109" s="544"/>
      <c r="L109" s="546"/>
    </row>
    <row r="110" spans="1:12" ht="14.5" x14ac:dyDescent="0.35">
      <c r="A110" s="539" t="s">
        <v>1002</v>
      </c>
      <c r="B110" s="543" t="s">
        <v>1003</v>
      </c>
      <c r="C110" s="543" t="s">
        <v>759</v>
      </c>
      <c r="D110" s="543" t="s">
        <v>759</v>
      </c>
      <c r="E110" s="543" t="s">
        <v>759</v>
      </c>
      <c r="F110" s="543" t="s">
        <v>759</v>
      </c>
      <c r="G110" s="543" t="s">
        <v>810</v>
      </c>
      <c r="H110" s="543"/>
      <c r="I110" s="543"/>
      <c r="J110" s="543"/>
      <c r="K110" s="543"/>
      <c r="L110" s="545"/>
    </row>
    <row r="111" spans="1:12" ht="14.5" x14ac:dyDescent="0.35">
      <c r="A111" s="540" t="s">
        <v>1004</v>
      </c>
      <c r="B111" s="544" t="s">
        <v>1005</v>
      </c>
      <c r="C111" s="544" t="s">
        <v>764</v>
      </c>
      <c r="D111" s="544" t="s">
        <v>764</v>
      </c>
      <c r="E111" s="544" t="s">
        <v>764</v>
      </c>
      <c r="F111" s="544" t="s">
        <v>764</v>
      </c>
      <c r="G111" s="544" t="s">
        <v>1006</v>
      </c>
      <c r="H111" s="544"/>
      <c r="I111" s="544"/>
      <c r="J111" s="544"/>
      <c r="K111" s="544"/>
      <c r="L111" s="546"/>
    </row>
    <row r="112" spans="1:12" ht="14.5" x14ac:dyDescent="0.35">
      <c r="A112" s="539" t="s">
        <v>1007</v>
      </c>
      <c r="B112" s="543" t="s">
        <v>1008</v>
      </c>
      <c r="C112" s="543" t="s">
        <v>810</v>
      </c>
      <c r="D112" s="543" t="s">
        <v>810</v>
      </c>
      <c r="E112" s="543" t="s">
        <v>810</v>
      </c>
      <c r="F112" s="543" t="s">
        <v>810</v>
      </c>
      <c r="G112" s="543" t="s">
        <v>1009</v>
      </c>
      <c r="H112" s="543"/>
      <c r="I112" s="543"/>
      <c r="J112" s="543"/>
      <c r="K112" s="543"/>
      <c r="L112" s="545"/>
    </row>
    <row r="113" spans="1:12" ht="14.5" x14ac:dyDescent="0.35">
      <c r="A113" s="540" t="s">
        <v>1010</v>
      </c>
      <c r="B113" s="544" t="s">
        <v>1011</v>
      </c>
      <c r="C113" s="544" t="s">
        <v>882</v>
      </c>
      <c r="D113" s="544" t="s">
        <v>882</v>
      </c>
      <c r="E113" s="544" t="s">
        <v>882</v>
      </c>
      <c r="F113" s="544" t="s">
        <v>882</v>
      </c>
      <c r="G113" s="544" t="s">
        <v>799</v>
      </c>
      <c r="H113" s="544"/>
      <c r="I113" s="544"/>
      <c r="J113" s="544"/>
      <c r="K113" s="544"/>
      <c r="L113" s="546"/>
    </row>
    <row r="114" spans="1:12" ht="14.5" x14ac:dyDescent="0.35">
      <c r="A114" s="539" t="s">
        <v>1012</v>
      </c>
      <c r="B114" s="543" t="s">
        <v>1013</v>
      </c>
      <c r="C114" s="543" t="s">
        <v>828</v>
      </c>
      <c r="D114" s="543" t="s">
        <v>828</v>
      </c>
      <c r="E114" s="543" t="s">
        <v>828</v>
      </c>
      <c r="F114" s="543" t="s">
        <v>828</v>
      </c>
      <c r="G114" s="543" t="s">
        <v>776</v>
      </c>
      <c r="H114" s="543"/>
      <c r="I114" s="543"/>
      <c r="J114" s="543"/>
      <c r="K114" s="543"/>
      <c r="L114" s="545"/>
    </row>
    <row r="115" spans="1:12" ht="14.5" x14ac:dyDescent="0.35">
      <c r="A115" s="540" t="s">
        <v>1014</v>
      </c>
      <c r="B115" s="544" t="s">
        <v>1015</v>
      </c>
      <c r="C115" s="544" t="s">
        <v>764</v>
      </c>
      <c r="D115" s="544" t="s">
        <v>764</v>
      </c>
      <c r="E115" s="544" t="s">
        <v>764</v>
      </c>
      <c r="F115" s="544" t="s">
        <v>765</v>
      </c>
      <c r="G115" s="544" t="s">
        <v>1016</v>
      </c>
      <c r="H115" s="544"/>
      <c r="I115" s="544"/>
      <c r="J115" s="544"/>
      <c r="K115" s="544"/>
      <c r="L115" s="546"/>
    </row>
    <row r="116" spans="1:12" ht="14.5" x14ac:dyDescent="0.35">
      <c r="A116" s="539" t="s">
        <v>1017</v>
      </c>
      <c r="B116" s="543" t="s">
        <v>1018</v>
      </c>
      <c r="C116" s="543" t="s">
        <v>810</v>
      </c>
      <c r="D116" s="543" t="s">
        <v>810</v>
      </c>
      <c r="E116" s="543" t="s">
        <v>810</v>
      </c>
      <c r="F116" s="543" t="s">
        <v>810</v>
      </c>
      <c r="G116" s="543" t="s">
        <v>1019</v>
      </c>
      <c r="H116" s="543"/>
      <c r="I116" s="543"/>
      <c r="J116" s="543"/>
      <c r="K116" s="543"/>
      <c r="L116" s="545"/>
    </row>
    <row r="117" spans="1:12" ht="14.5" x14ac:dyDescent="0.35">
      <c r="A117" s="540" t="s">
        <v>1020</v>
      </c>
      <c r="B117" s="544" t="s">
        <v>1021</v>
      </c>
      <c r="C117" s="544" t="s">
        <v>819</v>
      </c>
      <c r="D117" s="544" t="s">
        <v>775</v>
      </c>
      <c r="E117" s="544" t="s">
        <v>775</v>
      </c>
      <c r="F117" s="544" t="s">
        <v>775</v>
      </c>
      <c r="G117" s="544" t="s">
        <v>941</v>
      </c>
      <c r="H117" s="544"/>
      <c r="I117" s="544"/>
      <c r="J117" s="544"/>
      <c r="K117" s="544"/>
      <c r="L117" s="546"/>
    </row>
    <row r="118" spans="1:12" ht="14.5" x14ac:dyDescent="0.35">
      <c r="A118" s="539" t="s">
        <v>1022</v>
      </c>
      <c r="B118" s="543" t="s">
        <v>1023</v>
      </c>
      <c r="C118" s="543" t="s">
        <v>819</v>
      </c>
      <c r="D118" s="543" t="s">
        <v>819</v>
      </c>
      <c r="E118" s="543" t="s">
        <v>819</v>
      </c>
      <c r="F118" s="543" t="s">
        <v>991</v>
      </c>
      <c r="G118" s="543" t="s">
        <v>973</v>
      </c>
      <c r="H118" s="543"/>
      <c r="I118" s="543"/>
      <c r="J118" s="543"/>
      <c r="K118" s="543"/>
      <c r="L118" s="545"/>
    </row>
    <row r="119" spans="1:12" ht="14.5" x14ac:dyDescent="0.35">
      <c r="A119" s="540" t="s">
        <v>1024</v>
      </c>
      <c r="B119" s="544" t="s">
        <v>1025</v>
      </c>
      <c r="C119" s="544" t="s">
        <v>765</v>
      </c>
      <c r="D119" s="544" t="s">
        <v>765</v>
      </c>
      <c r="E119" s="544" t="s">
        <v>765</v>
      </c>
      <c r="F119" s="544" t="s">
        <v>765</v>
      </c>
      <c r="G119" s="544" t="s">
        <v>905</v>
      </c>
      <c r="H119" s="544"/>
      <c r="I119" s="544"/>
      <c r="J119" s="544"/>
      <c r="K119" s="544"/>
      <c r="L119" s="546"/>
    </row>
    <row r="120" spans="1:12" ht="14.5" x14ac:dyDescent="0.35">
      <c r="A120" s="539" t="s">
        <v>1026</v>
      </c>
      <c r="B120" s="543" t="s">
        <v>1027</v>
      </c>
      <c r="C120" s="543" t="s">
        <v>759</v>
      </c>
      <c r="D120" s="543" t="s">
        <v>759</v>
      </c>
      <c r="E120" s="543" t="s">
        <v>759</v>
      </c>
      <c r="F120" s="543" t="s">
        <v>759</v>
      </c>
      <c r="G120" s="543" t="s">
        <v>1028</v>
      </c>
      <c r="H120" s="543"/>
      <c r="I120" s="543"/>
      <c r="J120" s="543"/>
      <c r="K120" s="543"/>
      <c r="L120" s="545"/>
    </row>
    <row r="121" spans="1:12" ht="14.5" x14ac:dyDescent="0.35">
      <c r="A121" s="540" t="s">
        <v>1029</v>
      </c>
      <c r="B121" s="544" t="s">
        <v>827</v>
      </c>
      <c r="C121" s="544" t="s">
        <v>765</v>
      </c>
      <c r="D121" s="544" t="s">
        <v>765</v>
      </c>
      <c r="E121" s="544" t="s">
        <v>765</v>
      </c>
      <c r="F121" s="544" t="s">
        <v>765</v>
      </c>
      <c r="G121" s="544" t="s">
        <v>857</v>
      </c>
      <c r="H121" s="544"/>
      <c r="I121" s="544"/>
      <c r="J121" s="544"/>
      <c r="K121" s="544"/>
      <c r="L121" s="546"/>
    </row>
    <row r="122" spans="1:12" x14ac:dyDescent="0.25">
      <c r="A122" t="s">
        <v>1030</v>
      </c>
      <c r="B122" t="s">
        <v>1031</v>
      </c>
      <c r="C122" t="s">
        <v>819</v>
      </c>
      <c r="D122" t="s">
        <v>819</v>
      </c>
      <c r="E122" t="s">
        <v>819</v>
      </c>
      <c r="F122" t="s">
        <v>819</v>
      </c>
      <c r="G122" t="s">
        <v>1032</v>
      </c>
    </row>
    <row r="123" spans="1:12" x14ac:dyDescent="0.25">
      <c r="A123" t="s">
        <v>1033</v>
      </c>
      <c r="B123" t="s">
        <v>946</v>
      </c>
      <c r="C123" t="s">
        <v>798</v>
      </c>
      <c r="D123" t="s">
        <v>765</v>
      </c>
      <c r="E123" t="s">
        <v>765</v>
      </c>
      <c r="F123" t="s">
        <v>765</v>
      </c>
      <c r="G123" t="s">
        <v>1034</v>
      </c>
    </row>
    <row r="124" spans="1:12" x14ac:dyDescent="0.25">
      <c r="B124" t="s">
        <v>1</v>
      </c>
      <c r="C124" t="s">
        <v>882</v>
      </c>
      <c r="D124" t="s">
        <v>882</v>
      </c>
      <c r="E124" t="s">
        <v>882</v>
      </c>
      <c r="F124" t="s">
        <v>991</v>
      </c>
      <c r="G124" t="s">
        <v>973</v>
      </c>
    </row>
    <row r="125" spans="1:12" x14ac:dyDescent="0.25">
      <c r="B125" t="s">
        <v>1</v>
      </c>
      <c r="C125" t="s">
        <v>819</v>
      </c>
      <c r="D125" t="s">
        <v>819</v>
      </c>
      <c r="E125" t="s">
        <v>819</v>
      </c>
      <c r="F125" t="s">
        <v>775</v>
      </c>
      <c r="G125" t="s">
        <v>970</v>
      </c>
    </row>
    <row r="126" spans="1:12" x14ac:dyDescent="0.25">
      <c r="B126" t="s">
        <v>1</v>
      </c>
      <c r="C126" t="s">
        <v>759</v>
      </c>
      <c r="D126" t="s">
        <v>759</v>
      </c>
      <c r="E126" t="s">
        <v>759</v>
      </c>
      <c r="F126" t="s">
        <v>759</v>
      </c>
      <c r="G126" t="s">
        <v>810</v>
      </c>
    </row>
    <row r="127" spans="1:12" x14ac:dyDescent="0.25">
      <c r="A127" t="s">
        <v>1035</v>
      </c>
      <c r="B127" t="s">
        <v>1035</v>
      </c>
      <c r="C127" t="s">
        <v>1035</v>
      </c>
      <c r="D127" t="s">
        <v>1035</v>
      </c>
      <c r="E127" t="s">
        <v>1035</v>
      </c>
      <c r="F127" t="s">
        <v>1035</v>
      </c>
      <c r="G127" t="s">
        <v>1035</v>
      </c>
      <c r="H127" t="s">
        <v>1035</v>
      </c>
      <c r="I127" t="s">
        <v>1035</v>
      </c>
      <c r="J127" t="s">
        <v>1035</v>
      </c>
      <c r="K127" t="s">
        <v>1035</v>
      </c>
      <c r="L127" t="s">
        <v>1035</v>
      </c>
    </row>
    <row r="128" spans="1:12" x14ac:dyDescent="0.25">
      <c r="A128" t="s">
        <v>748</v>
      </c>
      <c r="B128" t="s">
        <v>749</v>
      </c>
      <c r="C128" t="s">
        <v>750</v>
      </c>
      <c r="D128" t="s">
        <v>751</v>
      </c>
      <c r="E128" t="s">
        <v>752</v>
      </c>
      <c r="F128" t="s">
        <v>753</v>
      </c>
      <c r="G128" t="s">
        <v>754</v>
      </c>
    </row>
    <row r="129" spans="1:12" x14ac:dyDescent="0.25">
      <c r="A129" t="s">
        <v>1036</v>
      </c>
      <c r="B129" t="s">
        <v>1037</v>
      </c>
      <c r="C129" t="s">
        <v>1</v>
      </c>
      <c r="D129" t="s">
        <v>1</v>
      </c>
      <c r="E129" t="s">
        <v>1</v>
      </c>
      <c r="F129" t="s">
        <v>1</v>
      </c>
      <c r="G129" t="s">
        <v>1</v>
      </c>
    </row>
    <row r="130" spans="1:12" x14ac:dyDescent="0.25">
      <c r="A130" t="s">
        <v>1038</v>
      </c>
      <c r="B130" t="s">
        <v>1039</v>
      </c>
      <c r="C130" t="s">
        <v>765</v>
      </c>
      <c r="D130" t="s">
        <v>940</v>
      </c>
      <c r="E130" t="s">
        <v>940</v>
      </c>
      <c r="F130" t="s">
        <v>940</v>
      </c>
      <c r="G130" t="s">
        <v>856</v>
      </c>
    </row>
    <row r="131" spans="1:12" x14ac:dyDescent="0.25">
      <c r="A131" t="s">
        <v>1040</v>
      </c>
      <c r="B131" t="s">
        <v>1041</v>
      </c>
      <c r="C131" t="s">
        <v>1</v>
      </c>
      <c r="D131" t="s">
        <v>1</v>
      </c>
      <c r="E131" t="s">
        <v>1</v>
      </c>
      <c r="F131" t="s">
        <v>1</v>
      </c>
      <c r="G131" t="s">
        <v>1</v>
      </c>
    </row>
    <row r="132" spans="1:12" x14ac:dyDescent="0.25">
      <c r="A132" t="s">
        <v>1042</v>
      </c>
      <c r="B132" t="s">
        <v>1043</v>
      </c>
      <c r="C132" t="s">
        <v>1</v>
      </c>
      <c r="D132" t="s">
        <v>1</v>
      </c>
      <c r="E132" t="s">
        <v>1</v>
      </c>
      <c r="F132" t="s">
        <v>1</v>
      </c>
      <c r="G132" t="s">
        <v>1</v>
      </c>
    </row>
    <row r="133" spans="1:12" x14ac:dyDescent="0.25">
      <c r="A133" t="s">
        <v>1044</v>
      </c>
      <c r="B133" t="s">
        <v>1045</v>
      </c>
      <c r="C133" t="s">
        <v>793</v>
      </c>
      <c r="D133" t="s">
        <v>793</v>
      </c>
      <c r="E133" t="s">
        <v>793</v>
      </c>
      <c r="F133" t="s">
        <v>771</v>
      </c>
      <c r="G133" t="s">
        <v>998</v>
      </c>
    </row>
    <row r="134" spans="1:12" x14ac:dyDescent="0.25">
      <c r="A134" t="s">
        <v>1046</v>
      </c>
      <c r="B134" t="s">
        <v>1046</v>
      </c>
      <c r="C134" t="s">
        <v>1046</v>
      </c>
      <c r="D134" t="s">
        <v>1046</v>
      </c>
      <c r="E134" t="s">
        <v>1046</v>
      </c>
      <c r="F134" t="s">
        <v>1046</v>
      </c>
      <c r="G134" t="s">
        <v>1046</v>
      </c>
      <c r="H134" t="s">
        <v>1046</v>
      </c>
      <c r="I134" t="s">
        <v>1046</v>
      </c>
      <c r="J134" t="s">
        <v>1046</v>
      </c>
      <c r="K134" t="s">
        <v>1046</v>
      </c>
      <c r="L134" t="s">
        <v>1046</v>
      </c>
    </row>
    <row r="135" spans="1:12" x14ac:dyDescent="0.25">
      <c r="A135" t="s">
        <v>748</v>
      </c>
      <c r="B135" t="s">
        <v>749</v>
      </c>
      <c r="C135" t="s">
        <v>750</v>
      </c>
      <c r="D135" t="s">
        <v>751</v>
      </c>
      <c r="E135" t="s">
        <v>752</v>
      </c>
      <c r="F135" t="s">
        <v>753</v>
      </c>
      <c r="G135" t="s">
        <v>754</v>
      </c>
    </row>
    <row r="136" spans="1:12" x14ac:dyDescent="0.25">
      <c r="A136" t="s">
        <v>1047</v>
      </c>
      <c r="B136" t="s">
        <v>1048</v>
      </c>
      <c r="C136" t="s">
        <v>1</v>
      </c>
      <c r="D136" t="s">
        <v>1</v>
      </c>
      <c r="E136" t="s">
        <v>1</v>
      </c>
      <c r="F136" t="s">
        <v>1</v>
      </c>
      <c r="G136" t="s">
        <v>1</v>
      </c>
    </row>
    <row r="137" spans="1:12" x14ac:dyDescent="0.25">
      <c r="A137" t="s">
        <v>1049</v>
      </c>
      <c r="B137" t="s">
        <v>1050</v>
      </c>
      <c r="C137" t="s">
        <v>786</v>
      </c>
      <c r="D137" t="s">
        <v>786</v>
      </c>
      <c r="E137" t="s">
        <v>786</v>
      </c>
      <c r="F137" t="s">
        <v>786</v>
      </c>
      <c r="G137" t="s">
        <v>761</v>
      </c>
    </row>
    <row r="138" spans="1:12" x14ac:dyDescent="0.25">
      <c r="A138" t="s">
        <v>1051</v>
      </c>
      <c r="B138" t="s">
        <v>1052</v>
      </c>
      <c r="C138" t="s">
        <v>1</v>
      </c>
      <c r="D138" t="s">
        <v>1</v>
      </c>
      <c r="E138" t="s">
        <v>1</v>
      </c>
      <c r="F138" t="s">
        <v>1</v>
      </c>
      <c r="G138" t="s">
        <v>1</v>
      </c>
    </row>
    <row r="139" spans="1:12" x14ac:dyDescent="0.25">
      <c r="A139" t="s">
        <v>1053</v>
      </c>
      <c r="B139" t="s">
        <v>1054</v>
      </c>
      <c r="C139" t="s">
        <v>1</v>
      </c>
      <c r="D139" t="s">
        <v>1</v>
      </c>
      <c r="E139" t="s">
        <v>1</v>
      </c>
      <c r="F139" t="s">
        <v>1</v>
      </c>
      <c r="G139" t="s">
        <v>1</v>
      </c>
    </row>
    <row r="140" spans="1:12" x14ac:dyDescent="0.25">
      <c r="A140" t="s">
        <v>1055</v>
      </c>
      <c r="B140" t="s">
        <v>1056</v>
      </c>
      <c r="C140" t="s">
        <v>1</v>
      </c>
      <c r="D140" t="s">
        <v>1</v>
      </c>
      <c r="E140" t="s">
        <v>1</v>
      </c>
      <c r="F140" t="s">
        <v>1</v>
      </c>
      <c r="G140" t="s">
        <v>1</v>
      </c>
    </row>
    <row r="141" spans="1:12" x14ac:dyDescent="0.25">
      <c r="A141" t="s">
        <v>1057</v>
      </c>
      <c r="B141" t="s">
        <v>1058</v>
      </c>
      <c r="C141" t="s">
        <v>1</v>
      </c>
      <c r="D141" t="s">
        <v>1</v>
      </c>
      <c r="E141" t="s">
        <v>1</v>
      </c>
      <c r="F141" t="s">
        <v>1</v>
      </c>
      <c r="G141" t="s">
        <v>1</v>
      </c>
    </row>
    <row r="142" spans="1:12" x14ac:dyDescent="0.25">
      <c r="A142" t="s">
        <v>1059</v>
      </c>
      <c r="B142" t="s">
        <v>1060</v>
      </c>
      <c r="C142" t="s">
        <v>1</v>
      </c>
      <c r="D142" t="s">
        <v>1</v>
      </c>
      <c r="E142" t="s">
        <v>1</v>
      </c>
      <c r="F142" t="s">
        <v>1</v>
      </c>
      <c r="G142" t="s">
        <v>1</v>
      </c>
    </row>
    <row r="143" spans="1:12" x14ac:dyDescent="0.25">
      <c r="A143" t="s">
        <v>1061</v>
      </c>
      <c r="B143" t="s">
        <v>1062</v>
      </c>
      <c r="C143" t="s">
        <v>1</v>
      </c>
      <c r="D143" t="s">
        <v>1</v>
      </c>
      <c r="E143" t="s">
        <v>1</v>
      </c>
      <c r="F143" t="s">
        <v>1</v>
      </c>
      <c r="G143" t="s">
        <v>1</v>
      </c>
    </row>
    <row r="144" spans="1:12" x14ac:dyDescent="0.25">
      <c r="A144" t="s">
        <v>1063</v>
      </c>
      <c r="B144" t="s">
        <v>1064</v>
      </c>
      <c r="C144" t="s">
        <v>1</v>
      </c>
      <c r="D144" t="s">
        <v>1</v>
      </c>
      <c r="E144" t="s">
        <v>1</v>
      </c>
      <c r="F144" t="s">
        <v>1</v>
      </c>
      <c r="G144" t="s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1000"/>
  <sheetViews>
    <sheetView workbookViewId="0">
      <selection activeCell="C32" sqref="C32"/>
    </sheetView>
  </sheetViews>
  <sheetFormatPr defaultColWidth="14.453125" defaultRowHeight="12.5" x14ac:dyDescent="0.25"/>
  <cols>
    <col min="1" max="1" width="3.453125" customWidth="1"/>
    <col min="2" max="2" width="11.1796875" bestFit="1" customWidth="1"/>
    <col min="3" max="3" width="26.453125" bestFit="1" customWidth="1"/>
    <col min="4" max="4" width="3.1796875" customWidth="1"/>
    <col min="5" max="5" width="15.54296875" customWidth="1"/>
    <col min="6" max="6" width="24.453125" bestFit="1" customWidth="1"/>
    <col min="7" max="7" width="3.453125" customWidth="1"/>
    <col min="8" max="8" width="6.81640625" bestFit="1" customWidth="1"/>
    <col min="9" max="9" width="3.453125" customWidth="1"/>
    <col min="10" max="10" width="8.453125" bestFit="1" customWidth="1"/>
    <col min="11" max="11" width="25.81640625" customWidth="1"/>
    <col min="12" max="12" width="2.81640625" customWidth="1"/>
    <col min="13" max="13" width="20" bestFit="1" customWidth="1"/>
    <col min="14" max="14" width="30.54296875" style="387" customWidth="1"/>
    <col min="15" max="15" width="3.1796875" customWidth="1"/>
    <col min="16" max="25" width="8.54296875" customWidth="1"/>
  </cols>
  <sheetData>
    <row r="1" spans="1:19" x14ac:dyDescent="0.25">
      <c r="A1" s="640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385"/>
      <c r="O1" s="640"/>
      <c r="P1" s="640"/>
      <c r="Q1" s="640"/>
      <c r="R1" s="640"/>
      <c r="S1" s="640"/>
    </row>
    <row r="2" spans="1:19" x14ac:dyDescent="0.25">
      <c r="A2" s="640"/>
      <c r="B2" s="959" t="s">
        <v>1065</v>
      </c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640"/>
      <c r="P2" s="640"/>
      <c r="Q2" s="640"/>
      <c r="R2" s="640"/>
      <c r="S2" s="640"/>
    </row>
    <row r="3" spans="1:19" ht="13" thickBot="1" x14ac:dyDescent="0.3">
      <c r="A3" s="640"/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385"/>
      <c r="O3" s="640"/>
      <c r="P3" s="640"/>
      <c r="Q3" s="640"/>
      <c r="R3" s="640"/>
      <c r="S3" s="640"/>
    </row>
    <row r="4" spans="1:19" ht="13.5" thickBot="1" x14ac:dyDescent="0.3">
      <c r="A4" s="640"/>
      <c r="B4" s="15" t="s">
        <v>1066</v>
      </c>
      <c r="C4" s="15" t="s">
        <v>1067</v>
      </c>
      <c r="D4" s="16"/>
      <c r="E4" s="17" t="s">
        <v>37</v>
      </c>
      <c r="F4" s="15" t="s">
        <v>1067</v>
      </c>
      <c r="G4" s="18"/>
      <c r="H4" s="15" t="s">
        <v>1068</v>
      </c>
      <c r="I4" s="18"/>
      <c r="J4" s="17" t="s">
        <v>166</v>
      </c>
      <c r="K4" s="15" t="s">
        <v>1067</v>
      </c>
      <c r="L4" s="16"/>
      <c r="M4" s="15" t="s">
        <v>488</v>
      </c>
      <c r="N4" s="386" t="s">
        <v>1067</v>
      </c>
      <c r="O4" s="640"/>
      <c r="P4" s="640"/>
      <c r="Q4" s="640"/>
      <c r="R4" s="640"/>
      <c r="S4" s="640"/>
    </row>
    <row r="5" spans="1:19" ht="39" x14ac:dyDescent="0.25">
      <c r="A5" s="640"/>
      <c r="B5" s="19" t="s">
        <v>1069</v>
      </c>
      <c r="C5" s="20" t="s">
        <v>1070</v>
      </c>
      <c r="D5" s="16"/>
      <c r="E5" s="21" t="s">
        <v>54</v>
      </c>
      <c r="F5" s="20" t="s">
        <v>1071</v>
      </c>
      <c r="G5" s="647"/>
      <c r="H5" s="19" t="s">
        <v>107</v>
      </c>
      <c r="I5" s="16"/>
      <c r="J5" s="21" t="s">
        <v>65</v>
      </c>
      <c r="K5" s="20" t="s">
        <v>1072</v>
      </c>
      <c r="L5" s="22"/>
      <c r="M5" s="19" t="s">
        <v>52</v>
      </c>
      <c r="N5" s="23" t="s">
        <v>1073</v>
      </c>
      <c r="O5" s="640"/>
      <c r="P5" s="640"/>
      <c r="Q5" s="640"/>
      <c r="R5" s="640"/>
      <c r="S5" s="640"/>
    </row>
    <row r="6" spans="1:19" ht="104" x14ac:dyDescent="0.25">
      <c r="A6" s="640"/>
      <c r="B6" s="24" t="s">
        <v>1074</v>
      </c>
      <c r="C6" s="25" t="s">
        <v>1075</v>
      </c>
      <c r="D6" s="16"/>
      <c r="E6" s="26" t="s">
        <v>47</v>
      </c>
      <c r="F6" s="25" t="s">
        <v>1076</v>
      </c>
      <c r="G6" s="647"/>
      <c r="H6" s="24" t="s">
        <v>43</v>
      </c>
      <c r="I6" s="16"/>
      <c r="J6" s="26" t="s">
        <v>50</v>
      </c>
      <c r="K6" s="25" t="s">
        <v>1077</v>
      </c>
      <c r="L6" s="22"/>
      <c r="M6" s="27" t="s">
        <v>151</v>
      </c>
      <c r="N6" s="28" t="s">
        <v>1078</v>
      </c>
      <c r="O6" s="640"/>
      <c r="P6" s="640"/>
      <c r="Q6" s="640"/>
      <c r="R6" s="640"/>
      <c r="S6" s="640"/>
    </row>
    <row r="7" spans="1:19" ht="65" x14ac:dyDescent="0.25">
      <c r="A7" s="640"/>
      <c r="B7" s="24" t="s">
        <v>1079</v>
      </c>
      <c r="C7" s="25" t="s">
        <v>1080</v>
      </c>
      <c r="D7" s="16"/>
      <c r="E7" s="16"/>
      <c r="F7" s="16"/>
      <c r="G7" s="16"/>
      <c r="H7" s="16"/>
      <c r="I7" s="16"/>
      <c r="J7" s="26" t="s">
        <v>41</v>
      </c>
      <c r="K7" s="25" t="s">
        <v>1081</v>
      </c>
      <c r="L7" s="16"/>
      <c r="M7" s="29" t="s">
        <v>217</v>
      </c>
      <c r="N7" s="28" t="s">
        <v>1082</v>
      </c>
      <c r="O7" s="640"/>
      <c r="P7" s="640"/>
      <c r="Q7" s="640"/>
      <c r="R7" s="640"/>
      <c r="S7" s="640"/>
    </row>
    <row r="8" spans="1:19" ht="26.5" thickBot="1" x14ac:dyDescent="0.3">
      <c r="A8" s="640"/>
      <c r="B8" s="24" t="s">
        <v>1083</v>
      </c>
      <c r="C8" s="25" t="s">
        <v>1084</v>
      </c>
      <c r="D8" s="16"/>
      <c r="E8" s="16"/>
      <c r="F8" s="16"/>
      <c r="G8" s="16"/>
      <c r="H8" s="16"/>
      <c r="I8" s="16"/>
      <c r="J8" s="26" t="s">
        <v>56</v>
      </c>
      <c r="K8" s="25" t="s">
        <v>1085</v>
      </c>
      <c r="L8" s="16"/>
      <c r="M8" s="27" t="s">
        <v>242</v>
      </c>
      <c r="N8" s="28" t="s">
        <v>1086</v>
      </c>
      <c r="O8" s="640"/>
      <c r="P8" s="640"/>
      <c r="Q8" s="640"/>
    </row>
    <row r="9" spans="1:19" ht="26.5" thickBot="1" x14ac:dyDescent="0.3">
      <c r="A9" s="640"/>
      <c r="B9" s="24" t="s">
        <v>1087</v>
      </c>
      <c r="C9" s="25" t="s">
        <v>1088</v>
      </c>
      <c r="D9" s="16"/>
      <c r="E9" s="30" t="s">
        <v>502</v>
      </c>
      <c r="F9" s="31" t="s">
        <v>1067</v>
      </c>
      <c r="G9" s="16"/>
      <c r="H9" s="16"/>
      <c r="I9" s="16"/>
      <c r="J9" s="26" t="s">
        <v>143</v>
      </c>
      <c r="K9" s="25" t="s">
        <v>1089</v>
      </c>
      <c r="L9" s="16"/>
      <c r="M9" s="29" t="s">
        <v>220</v>
      </c>
      <c r="N9" s="28" t="s">
        <v>1090</v>
      </c>
      <c r="O9" s="640"/>
      <c r="P9" s="640"/>
      <c r="Q9" s="640"/>
      <c r="R9" s="640"/>
      <c r="S9" s="640"/>
    </row>
    <row r="10" spans="1:19" ht="26" x14ac:dyDescent="0.25">
      <c r="A10" s="640"/>
      <c r="B10" s="647"/>
      <c r="C10" s="647"/>
      <c r="D10" s="647"/>
      <c r="E10" s="32" t="s">
        <v>508</v>
      </c>
      <c r="F10" s="32" t="s">
        <v>1091</v>
      </c>
      <c r="G10" s="647"/>
      <c r="H10" s="647"/>
      <c r="I10" s="647"/>
      <c r="J10" s="33" t="s">
        <v>358</v>
      </c>
      <c r="K10" s="25" t="s">
        <v>1092</v>
      </c>
      <c r="L10" s="647"/>
      <c r="M10" s="29" t="s">
        <v>222</v>
      </c>
      <c r="N10" s="28" t="s">
        <v>1093</v>
      </c>
      <c r="O10" s="640"/>
      <c r="P10" s="640"/>
      <c r="Q10" s="640"/>
      <c r="R10" s="640"/>
      <c r="S10" s="640"/>
    </row>
    <row r="11" spans="1:19" ht="26.5" thickBot="1" x14ac:dyDescent="0.3">
      <c r="A11" s="640"/>
      <c r="B11" s="647"/>
      <c r="C11" s="647"/>
      <c r="D11" s="647"/>
      <c r="E11" s="27" t="s">
        <v>537</v>
      </c>
      <c r="F11" s="27" t="s">
        <v>1094</v>
      </c>
      <c r="G11" s="647"/>
      <c r="H11" s="647"/>
      <c r="I11" s="647"/>
      <c r="J11" s="33" t="s">
        <v>75</v>
      </c>
      <c r="K11" s="25" t="s">
        <v>1095</v>
      </c>
      <c r="L11" s="647"/>
      <c r="M11" s="29" t="s">
        <v>224</v>
      </c>
      <c r="N11" s="28" t="s">
        <v>1096</v>
      </c>
      <c r="O11" s="640"/>
      <c r="P11" s="640"/>
      <c r="Q11" s="640"/>
      <c r="R11" s="640"/>
      <c r="S11" s="640"/>
    </row>
    <row r="12" spans="1:19" ht="26.5" thickBot="1" x14ac:dyDescent="0.3">
      <c r="A12" s="640"/>
      <c r="B12" s="31" t="s">
        <v>1097</v>
      </c>
      <c r="C12" s="31" t="s">
        <v>1067</v>
      </c>
      <c r="D12" s="647"/>
      <c r="E12" s="27"/>
      <c r="F12" s="27"/>
      <c r="G12" s="647"/>
      <c r="H12" s="647"/>
      <c r="I12" s="647"/>
      <c r="J12" s="34" t="s">
        <v>1098</v>
      </c>
      <c r="K12" s="35" t="s">
        <v>1099</v>
      </c>
      <c r="L12" s="647"/>
      <c r="M12" s="27" t="s">
        <v>227</v>
      </c>
      <c r="N12" s="28" t="s">
        <v>1100</v>
      </c>
      <c r="O12" s="640"/>
      <c r="P12" s="640"/>
      <c r="Q12" s="640"/>
      <c r="R12" s="640"/>
      <c r="S12" s="640"/>
    </row>
    <row r="13" spans="1:19" ht="26" x14ac:dyDescent="0.25">
      <c r="A13" s="640"/>
      <c r="B13" s="32" t="s">
        <v>1101</v>
      </c>
      <c r="C13" s="32" t="s">
        <v>1102</v>
      </c>
      <c r="D13" s="647"/>
      <c r="E13" s="27"/>
      <c r="F13" s="27"/>
      <c r="G13" s="647"/>
      <c r="H13" s="647"/>
      <c r="I13" s="647"/>
      <c r="J13" s="27" t="s">
        <v>217</v>
      </c>
      <c r="K13" s="36" t="s">
        <v>1082</v>
      </c>
      <c r="L13" s="647"/>
      <c r="M13" s="27" t="s">
        <v>229</v>
      </c>
      <c r="N13" s="28" t="s">
        <v>1103</v>
      </c>
      <c r="O13" s="640"/>
      <c r="P13" s="640"/>
      <c r="Q13" s="640"/>
      <c r="R13" s="640"/>
      <c r="S13" s="640"/>
    </row>
    <row r="14" spans="1:19" ht="26.5" thickBot="1" x14ac:dyDescent="0.3">
      <c r="A14" s="640"/>
      <c r="B14" s="27" t="s">
        <v>48</v>
      </c>
      <c r="C14" s="27" t="s">
        <v>1104</v>
      </c>
      <c r="D14" s="647"/>
      <c r="E14" s="647"/>
      <c r="F14" s="647"/>
      <c r="G14" s="647"/>
      <c r="H14" s="647"/>
      <c r="I14" s="647"/>
      <c r="J14" s="27" t="s">
        <v>1105</v>
      </c>
      <c r="K14" s="36" t="s">
        <v>1106</v>
      </c>
      <c r="L14" s="647"/>
      <c r="M14" s="27" t="s">
        <v>232</v>
      </c>
      <c r="N14" s="28" t="s">
        <v>1107</v>
      </c>
      <c r="O14" s="640"/>
      <c r="P14" s="640"/>
      <c r="Q14" s="640"/>
      <c r="R14" s="640"/>
      <c r="S14" s="640"/>
    </row>
    <row r="15" spans="1:19" ht="26.5" thickBot="1" x14ac:dyDescent="0.3">
      <c r="A15" s="640"/>
      <c r="B15" s="27" t="s">
        <v>63</v>
      </c>
      <c r="C15" s="27"/>
      <c r="D15" s="647"/>
      <c r="E15" s="31" t="s">
        <v>501</v>
      </c>
      <c r="F15" s="31" t="s">
        <v>1108</v>
      </c>
      <c r="G15" s="647"/>
      <c r="H15" s="647"/>
      <c r="I15" s="647"/>
      <c r="J15" s="647"/>
      <c r="K15" s="37"/>
      <c r="L15" s="647"/>
      <c r="M15" s="27" t="s">
        <v>44</v>
      </c>
      <c r="N15" s="28" t="s">
        <v>1109</v>
      </c>
      <c r="O15" s="640"/>
      <c r="P15" s="640"/>
      <c r="Q15" s="640"/>
      <c r="R15" s="640"/>
      <c r="S15" s="640"/>
    </row>
    <row r="16" spans="1:19" ht="26.5" thickBot="1" x14ac:dyDescent="0.3">
      <c r="A16" s="640"/>
      <c r="B16" s="27" t="s">
        <v>554</v>
      </c>
      <c r="C16" s="27"/>
      <c r="D16" s="647"/>
      <c r="E16" s="38" t="s">
        <v>525</v>
      </c>
      <c r="F16" s="38" t="s">
        <v>6</v>
      </c>
      <c r="G16" s="647"/>
      <c r="H16" s="647"/>
      <c r="I16" s="647"/>
      <c r="K16" s="31" t="s">
        <v>1110</v>
      </c>
      <c r="L16" s="647"/>
      <c r="M16" s="27" t="s">
        <v>236</v>
      </c>
      <c r="N16" s="28" t="s">
        <v>1111</v>
      </c>
      <c r="O16" s="640"/>
      <c r="P16" s="640"/>
      <c r="Q16" s="640"/>
      <c r="R16" s="640"/>
      <c r="S16" s="640"/>
    </row>
    <row r="17" spans="1:19" ht="26" x14ac:dyDescent="0.25">
      <c r="A17" s="640"/>
      <c r="B17" s="27" t="s">
        <v>1069</v>
      </c>
      <c r="C17" s="27" t="s">
        <v>1112</v>
      </c>
      <c r="D17" s="647"/>
      <c r="E17" s="39" t="s">
        <v>512</v>
      </c>
      <c r="F17" s="39" t="s">
        <v>506</v>
      </c>
      <c r="G17" s="647"/>
      <c r="H17" s="647"/>
      <c r="I17" s="647"/>
      <c r="K17" s="38" t="s">
        <v>220</v>
      </c>
      <c r="L17" s="647"/>
      <c r="M17" s="27" t="s">
        <v>163</v>
      </c>
      <c r="N17" s="28" t="s">
        <v>1113</v>
      </c>
      <c r="O17" s="640"/>
      <c r="P17" s="640"/>
      <c r="Q17" s="640"/>
      <c r="R17" s="640"/>
      <c r="S17" s="640"/>
    </row>
    <row r="18" spans="1:19" ht="13.5" thickBot="1" x14ac:dyDescent="0.3">
      <c r="A18" s="640"/>
      <c r="B18" s="27" t="s">
        <v>58</v>
      </c>
      <c r="C18" s="27"/>
      <c r="D18" s="647"/>
      <c r="E18" s="40" t="s">
        <v>507</v>
      </c>
      <c r="F18" s="40" t="s">
        <v>529</v>
      </c>
      <c r="G18" s="647"/>
      <c r="H18" s="647"/>
      <c r="I18" s="647"/>
      <c r="K18" s="39" t="s">
        <v>222</v>
      </c>
      <c r="L18" s="647"/>
      <c r="M18" s="27" t="s">
        <v>245</v>
      </c>
      <c r="N18" s="28" t="s">
        <v>1114</v>
      </c>
      <c r="O18" s="640"/>
      <c r="P18" s="640"/>
      <c r="Q18" s="640"/>
      <c r="R18" s="640"/>
      <c r="S18" s="640"/>
    </row>
    <row r="19" spans="1:19" ht="13.5" thickBot="1" x14ac:dyDescent="0.3">
      <c r="A19" s="640"/>
      <c r="B19" s="27" t="s">
        <v>67</v>
      </c>
      <c r="C19" s="27"/>
      <c r="D19" s="647"/>
      <c r="E19" s="647"/>
      <c r="F19" s="647"/>
      <c r="G19" s="647"/>
      <c r="H19" s="647"/>
      <c r="I19" s="647"/>
      <c r="K19" s="39" t="s">
        <v>224</v>
      </c>
      <c r="L19" s="647"/>
      <c r="M19" s="27" t="s">
        <v>249</v>
      </c>
      <c r="N19" s="28" t="s">
        <v>1115</v>
      </c>
      <c r="O19" s="640"/>
      <c r="P19" s="640"/>
      <c r="Q19" s="640"/>
      <c r="R19" s="640"/>
      <c r="S19" s="640"/>
    </row>
    <row r="20" spans="1:19" ht="13.5" thickBot="1" x14ac:dyDescent="0.3">
      <c r="A20" s="640"/>
      <c r="B20" s="647"/>
      <c r="C20" s="647"/>
      <c r="D20" s="647"/>
      <c r="E20" s="647"/>
      <c r="F20" s="31" t="s">
        <v>1116</v>
      </c>
      <c r="G20" s="647"/>
      <c r="H20" s="647"/>
      <c r="I20" s="647"/>
      <c r="K20" s="39" t="s">
        <v>227</v>
      </c>
      <c r="L20" s="647"/>
      <c r="M20" s="27" t="s">
        <v>77</v>
      </c>
      <c r="N20" s="28" t="s">
        <v>1117</v>
      </c>
      <c r="O20" s="640"/>
      <c r="R20" s="640"/>
      <c r="S20" s="640"/>
    </row>
    <row r="21" spans="1:19" ht="13" x14ac:dyDescent="0.25">
      <c r="A21" s="640"/>
      <c r="D21" s="647"/>
      <c r="E21" s="647"/>
      <c r="F21" s="38" t="s">
        <v>1118</v>
      </c>
      <c r="G21" s="647"/>
      <c r="H21" s="647"/>
      <c r="I21" s="647"/>
      <c r="K21" s="39" t="s">
        <v>229</v>
      </c>
      <c r="L21" s="647"/>
      <c r="M21" s="27" t="s">
        <v>256</v>
      </c>
      <c r="N21" s="28" t="s">
        <v>1119</v>
      </c>
      <c r="O21" s="640"/>
      <c r="P21" s="640"/>
      <c r="Q21" s="640"/>
      <c r="R21" s="640"/>
      <c r="S21" s="640"/>
    </row>
    <row r="22" spans="1:19" ht="13" x14ac:dyDescent="0.25">
      <c r="A22" s="640"/>
      <c r="D22" s="647"/>
      <c r="E22" s="647"/>
      <c r="F22" s="39" t="s">
        <v>1120</v>
      </c>
      <c r="G22" s="647"/>
      <c r="H22" s="647"/>
      <c r="I22" s="647"/>
      <c r="K22" s="39" t="s">
        <v>232</v>
      </c>
      <c r="L22" s="647"/>
      <c r="M22" s="27" t="s">
        <v>260</v>
      </c>
      <c r="N22" s="28" t="s">
        <v>1121</v>
      </c>
      <c r="O22" s="640"/>
      <c r="P22" s="640"/>
      <c r="Q22" s="640"/>
      <c r="R22" s="640"/>
      <c r="S22" s="640"/>
    </row>
    <row r="23" spans="1:19" ht="13" x14ac:dyDescent="0.25">
      <c r="A23" s="640"/>
      <c r="D23" s="647"/>
      <c r="E23" s="647"/>
      <c r="F23" s="38" t="s">
        <v>1122</v>
      </c>
      <c r="G23" s="647"/>
      <c r="H23" s="647"/>
      <c r="I23" s="647"/>
      <c r="K23" s="39" t="s">
        <v>44</v>
      </c>
      <c r="L23" s="647"/>
      <c r="M23" s="27" t="s">
        <v>264</v>
      </c>
      <c r="N23" s="28" t="s">
        <v>1123</v>
      </c>
      <c r="O23" s="640"/>
      <c r="P23" s="640"/>
      <c r="Q23" s="640"/>
      <c r="R23" s="640"/>
      <c r="S23" s="640"/>
    </row>
    <row r="24" spans="1:19" ht="13" x14ac:dyDescent="0.25">
      <c r="A24" s="640"/>
      <c r="D24" s="647"/>
      <c r="E24" s="647"/>
      <c r="F24" s="39" t="s">
        <v>1124</v>
      </c>
      <c r="G24" s="647"/>
      <c r="H24" s="647"/>
      <c r="I24" s="647"/>
      <c r="K24" s="39" t="s">
        <v>236</v>
      </c>
      <c r="L24" s="647"/>
      <c r="M24" s="27" t="s">
        <v>269</v>
      </c>
      <c r="N24" s="28" t="s">
        <v>1125</v>
      </c>
      <c r="O24" s="640"/>
      <c r="P24" s="640"/>
      <c r="Q24" s="640"/>
      <c r="R24" s="640"/>
      <c r="S24" s="640"/>
    </row>
    <row r="25" spans="1:19" ht="13.5" thickBot="1" x14ac:dyDescent="0.3">
      <c r="A25" s="640"/>
      <c r="B25" s="647"/>
      <c r="C25" s="647"/>
      <c r="D25" s="647"/>
      <c r="E25" s="647"/>
      <c r="F25" s="38" t="s">
        <v>1126</v>
      </c>
      <c r="G25" s="647"/>
      <c r="H25" s="647"/>
      <c r="I25" s="647"/>
      <c r="K25" s="40" t="s">
        <v>163</v>
      </c>
      <c r="L25" s="647"/>
      <c r="M25" s="27" t="s">
        <v>272</v>
      </c>
      <c r="N25" s="28" t="s">
        <v>1127</v>
      </c>
      <c r="O25" s="640"/>
      <c r="P25" s="640"/>
      <c r="Q25" s="640"/>
      <c r="R25" s="640"/>
      <c r="S25" s="640"/>
    </row>
    <row r="26" spans="1:19" ht="13" x14ac:dyDescent="0.25">
      <c r="A26" s="640"/>
      <c r="B26" s="647"/>
      <c r="C26" s="647"/>
      <c r="D26" s="647"/>
      <c r="E26" s="16"/>
      <c r="F26" s="39" t="s">
        <v>1128</v>
      </c>
      <c r="G26" s="647"/>
      <c r="H26" s="647"/>
      <c r="I26" s="647"/>
      <c r="J26" s="958"/>
      <c r="K26" s="958"/>
      <c r="L26" s="647"/>
      <c r="M26" s="27" t="s">
        <v>45</v>
      </c>
      <c r="N26" s="28" t="s">
        <v>1129</v>
      </c>
      <c r="O26" s="640"/>
      <c r="P26" s="640"/>
      <c r="Q26" s="640"/>
      <c r="R26" s="640"/>
      <c r="S26" s="640"/>
    </row>
    <row r="27" spans="1:19" ht="13" x14ac:dyDescent="0.25">
      <c r="A27" s="640"/>
      <c r="B27" s="647"/>
      <c r="C27" s="647"/>
      <c r="D27" s="647"/>
      <c r="E27" s="16"/>
      <c r="F27" s="38" t="s">
        <v>0</v>
      </c>
      <c r="G27" s="647"/>
      <c r="H27" s="647"/>
      <c r="I27" s="647"/>
      <c r="J27" s="958"/>
      <c r="K27" s="958"/>
      <c r="L27" s="647"/>
      <c r="M27" s="27" t="s">
        <v>79</v>
      </c>
      <c r="N27" s="28"/>
      <c r="O27" s="640"/>
      <c r="P27" s="640"/>
      <c r="Q27" s="640"/>
      <c r="R27" s="640"/>
      <c r="S27" s="640"/>
    </row>
    <row r="28" spans="1:19" ht="13" x14ac:dyDescent="0.25">
      <c r="A28" s="640"/>
      <c r="B28" s="647"/>
      <c r="C28" s="647"/>
      <c r="D28" s="647"/>
      <c r="E28" s="647"/>
      <c r="F28" s="647"/>
      <c r="G28" s="647"/>
      <c r="H28" s="647"/>
      <c r="I28" s="647"/>
      <c r="J28" s="958"/>
      <c r="K28" s="958"/>
      <c r="L28" s="647"/>
      <c r="M28" s="27" t="s">
        <v>79</v>
      </c>
      <c r="N28" s="28"/>
      <c r="O28" s="640"/>
      <c r="P28" s="640"/>
      <c r="Q28" s="640"/>
      <c r="R28" s="640"/>
      <c r="S28" s="640"/>
    </row>
    <row r="29" spans="1:19" ht="13" x14ac:dyDescent="0.25">
      <c r="A29" s="640"/>
      <c r="B29" s="647"/>
      <c r="C29" s="647"/>
      <c r="D29" s="647"/>
      <c r="E29" s="647"/>
      <c r="F29" s="647"/>
      <c r="G29" s="647"/>
      <c r="H29" s="647"/>
      <c r="I29" s="647"/>
      <c r="J29" s="958"/>
      <c r="K29" s="958"/>
      <c r="L29" s="647"/>
      <c r="M29" s="27" t="s">
        <v>79</v>
      </c>
      <c r="N29" s="28"/>
      <c r="O29" s="640"/>
      <c r="P29" s="640"/>
      <c r="Q29" s="640"/>
      <c r="R29" s="640"/>
      <c r="S29" s="640"/>
    </row>
    <row r="30" spans="1:19" ht="13" x14ac:dyDescent="0.25">
      <c r="A30" s="640"/>
      <c r="B30" s="647"/>
      <c r="C30" s="647"/>
      <c r="D30" s="647"/>
      <c r="E30" s="647"/>
      <c r="F30" s="647"/>
      <c r="G30" s="647"/>
      <c r="H30" s="647"/>
      <c r="I30" s="647"/>
      <c r="J30" s="958"/>
      <c r="K30" s="958"/>
      <c r="L30" s="647"/>
      <c r="M30" s="27" t="s">
        <v>79</v>
      </c>
      <c r="N30" s="28"/>
      <c r="O30" s="640"/>
      <c r="P30" s="640"/>
      <c r="Q30" s="640"/>
      <c r="R30" s="640"/>
      <c r="S30" s="640"/>
    </row>
    <row r="31" spans="1:19" ht="13" x14ac:dyDescent="0.25">
      <c r="A31" s="640"/>
      <c r="B31" s="647"/>
      <c r="C31" s="647"/>
      <c r="D31" s="647"/>
      <c r="E31" s="647"/>
      <c r="F31" s="647"/>
      <c r="G31" s="647"/>
      <c r="H31" s="647"/>
      <c r="I31" s="647"/>
      <c r="J31" s="958"/>
      <c r="K31" s="958"/>
      <c r="L31" s="647"/>
      <c r="M31" s="27" t="s">
        <v>79</v>
      </c>
      <c r="N31" s="28"/>
      <c r="O31" s="640"/>
      <c r="P31" s="640"/>
      <c r="Q31" s="640"/>
      <c r="R31" s="640"/>
      <c r="S31" s="640"/>
    </row>
    <row r="32" spans="1:19" ht="13" x14ac:dyDescent="0.25">
      <c r="A32" s="640"/>
      <c r="B32" s="647"/>
      <c r="C32" s="647"/>
      <c r="D32" s="640"/>
      <c r="E32" s="640"/>
      <c r="F32" s="640"/>
      <c r="G32" s="640"/>
      <c r="H32" s="640"/>
      <c r="I32" s="640"/>
      <c r="J32" s="958"/>
      <c r="K32" s="958"/>
      <c r="L32" s="640"/>
      <c r="M32" s="640"/>
      <c r="N32" s="385"/>
      <c r="O32" s="640"/>
      <c r="P32" s="640"/>
      <c r="Q32" s="640"/>
      <c r="R32" s="640"/>
      <c r="S32" s="640"/>
    </row>
    <row r="33" spans="1:19" ht="13" x14ac:dyDescent="0.25">
      <c r="A33" s="640"/>
      <c r="B33" s="640"/>
      <c r="C33" s="640"/>
      <c r="D33" s="640"/>
      <c r="E33" s="640"/>
      <c r="F33" s="640"/>
      <c r="G33" s="640"/>
      <c r="H33" s="640"/>
      <c r="I33" s="640"/>
      <c r="J33" s="958"/>
      <c r="K33" s="958"/>
      <c r="L33" s="640"/>
      <c r="M33" s="640"/>
      <c r="N33" s="385"/>
      <c r="O33" s="640"/>
      <c r="P33" s="640"/>
      <c r="Q33" s="640"/>
      <c r="R33" s="640"/>
      <c r="S33" s="640"/>
    </row>
    <row r="34" spans="1:19" ht="13" x14ac:dyDescent="0.25">
      <c r="A34" s="640"/>
      <c r="B34" s="640"/>
      <c r="C34" s="640"/>
      <c r="D34" s="640"/>
      <c r="E34" s="640"/>
      <c r="F34" s="640"/>
      <c r="G34" s="640"/>
      <c r="H34" s="640"/>
      <c r="I34" s="640"/>
      <c r="J34" s="958"/>
      <c r="K34" s="958"/>
      <c r="L34" s="640"/>
      <c r="M34" s="640"/>
      <c r="N34" s="385"/>
      <c r="O34" s="640"/>
      <c r="P34" s="640"/>
      <c r="Q34" s="640"/>
      <c r="R34" s="640"/>
      <c r="S34" s="640"/>
    </row>
    <row r="35" spans="1:19" ht="13" x14ac:dyDescent="0.25">
      <c r="A35" s="640"/>
      <c r="B35" s="640"/>
      <c r="C35" s="640"/>
      <c r="D35" s="640"/>
      <c r="E35" s="640"/>
      <c r="F35" s="640"/>
      <c r="G35" s="640"/>
      <c r="H35" s="640"/>
      <c r="I35" s="640"/>
      <c r="J35" s="958"/>
      <c r="K35" s="958"/>
      <c r="L35" s="640"/>
      <c r="M35" s="640"/>
      <c r="N35" s="385"/>
      <c r="O35" s="640"/>
      <c r="P35" s="640"/>
      <c r="Q35" s="640"/>
      <c r="R35" s="640"/>
      <c r="S35" s="640"/>
    </row>
    <row r="36" spans="1:19" ht="13" x14ac:dyDescent="0.25">
      <c r="A36" s="640"/>
      <c r="B36" s="640"/>
      <c r="C36" s="640"/>
      <c r="D36" s="640"/>
      <c r="E36" s="640"/>
      <c r="F36" s="640"/>
      <c r="G36" s="640"/>
      <c r="H36" s="640"/>
      <c r="I36" s="640"/>
      <c r="J36" s="958"/>
      <c r="K36" s="958"/>
      <c r="L36" s="640"/>
      <c r="M36" s="640"/>
      <c r="N36" s="385"/>
      <c r="O36" s="640"/>
      <c r="P36" s="640"/>
      <c r="Q36" s="640"/>
      <c r="R36" s="640"/>
      <c r="S36" s="640"/>
    </row>
    <row r="37" spans="1:19" ht="13" x14ac:dyDescent="0.25">
      <c r="A37" s="640"/>
      <c r="B37" s="640"/>
      <c r="C37" s="640"/>
      <c r="D37" s="640"/>
      <c r="E37" s="640"/>
      <c r="F37" s="640"/>
      <c r="G37" s="640"/>
      <c r="H37" s="640"/>
      <c r="I37" s="640"/>
      <c r="J37" s="958"/>
      <c r="K37" s="958"/>
      <c r="L37" s="640"/>
      <c r="M37" s="640"/>
      <c r="N37" s="385"/>
      <c r="O37" s="640"/>
      <c r="P37" s="640"/>
      <c r="Q37" s="640"/>
      <c r="R37" s="640"/>
      <c r="S37" s="640"/>
    </row>
    <row r="38" spans="1:19" ht="13" x14ac:dyDescent="0.25">
      <c r="A38" s="640"/>
      <c r="B38" s="640"/>
      <c r="C38" s="640"/>
      <c r="D38" s="640"/>
      <c r="E38" s="640"/>
      <c r="F38" s="640"/>
      <c r="G38" s="640"/>
      <c r="H38" s="640"/>
      <c r="I38" s="640"/>
      <c r="J38" s="958"/>
      <c r="K38" s="958"/>
      <c r="L38" s="640"/>
      <c r="O38" s="640"/>
      <c r="P38" s="640"/>
      <c r="Q38" s="640"/>
      <c r="R38" s="640"/>
      <c r="S38" s="640"/>
    </row>
    <row r="39" spans="1:19" ht="13" x14ac:dyDescent="0.25">
      <c r="A39" s="640"/>
      <c r="B39" s="640"/>
      <c r="C39" s="640"/>
      <c r="D39" s="640"/>
      <c r="E39" s="640"/>
      <c r="F39" s="640"/>
      <c r="G39" s="640"/>
      <c r="H39" s="640"/>
      <c r="I39" s="640"/>
      <c r="J39" s="958"/>
      <c r="K39" s="958"/>
      <c r="L39" s="640"/>
      <c r="O39" s="640"/>
      <c r="P39" s="640"/>
      <c r="Q39" s="640"/>
      <c r="R39" s="640"/>
      <c r="S39" s="640"/>
    </row>
    <row r="40" spans="1:19" ht="13" x14ac:dyDescent="0.25">
      <c r="A40" s="640"/>
      <c r="B40" s="640"/>
      <c r="C40" s="640"/>
      <c r="D40" s="640"/>
      <c r="E40" s="640"/>
      <c r="F40" s="640"/>
      <c r="G40" s="640"/>
      <c r="H40" s="640"/>
      <c r="I40" s="640"/>
      <c r="J40" s="958"/>
      <c r="K40" s="958"/>
      <c r="L40" s="640"/>
      <c r="O40" s="640"/>
      <c r="P40" s="640"/>
      <c r="Q40" s="640"/>
      <c r="R40" s="640"/>
      <c r="S40" s="640"/>
    </row>
    <row r="41" spans="1:19" ht="13" x14ac:dyDescent="0.25">
      <c r="A41" s="640"/>
      <c r="B41" s="640"/>
      <c r="C41" s="640"/>
      <c r="D41" s="640"/>
      <c r="E41" s="640"/>
      <c r="F41" s="640"/>
      <c r="G41" s="640"/>
      <c r="H41" s="640"/>
      <c r="I41" s="640"/>
      <c r="J41" s="958"/>
      <c r="K41" s="958"/>
      <c r="L41" s="640"/>
      <c r="O41" s="640"/>
      <c r="P41" s="640"/>
      <c r="Q41" s="640"/>
      <c r="R41" s="640"/>
      <c r="S41" s="640"/>
    </row>
    <row r="42" spans="1:19" ht="13" x14ac:dyDescent="0.25">
      <c r="A42" s="640"/>
      <c r="B42" s="640"/>
      <c r="C42" s="640"/>
      <c r="D42" s="640"/>
      <c r="E42" s="640"/>
      <c r="F42" s="640"/>
      <c r="G42" s="640"/>
      <c r="H42" s="640"/>
      <c r="I42" s="640"/>
      <c r="J42" s="958"/>
      <c r="K42" s="958"/>
      <c r="L42" s="640"/>
      <c r="O42" s="640"/>
      <c r="P42" s="640"/>
      <c r="Q42" s="640"/>
      <c r="R42" s="640"/>
      <c r="S42" s="640"/>
    </row>
    <row r="43" spans="1:19" ht="13" x14ac:dyDescent="0.25">
      <c r="A43" s="640"/>
      <c r="B43" s="640"/>
      <c r="C43" s="640"/>
      <c r="D43" s="640"/>
      <c r="E43" s="640"/>
      <c r="F43" s="640"/>
      <c r="G43" s="640"/>
      <c r="H43" s="640"/>
      <c r="I43" s="640"/>
      <c r="J43" s="958"/>
      <c r="K43" s="958"/>
      <c r="L43" s="640"/>
      <c r="O43" s="640"/>
      <c r="P43" s="640"/>
      <c r="Q43" s="640"/>
      <c r="R43" s="640"/>
      <c r="S43" s="640"/>
    </row>
    <row r="44" spans="1:19" ht="13" x14ac:dyDescent="0.25">
      <c r="A44" s="5"/>
      <c r="B44" s="640"/>
      <c r="C44" s="640"/>
      <c r="D44" s="5"/>
      <c r="G44" s="5"/>
      <c r="I44" s="5"/>
      <c r="J44" s="958"/>
      <c r="K44" s="958"/>
      <c r="L44" s="5"/>
    </row>
    <row r="45" spans="1:19" ht="13" x14ac:dyDescent="0.25">
      <c r="A45" s="5"/>
      <c r="D45" s="5"/>
      <c r="G45" s="5"/>
      <c r="I45" s="5"/>
      <c r="J45" s="958"/>
      <c r="K45" s="958"/>
      <c r="L45" s="5"/>
    </row>
    <row r="46" spans="1:19" ht="13" x14ac:dyDescent="0.25">
      <c r="A46" s="5"/>
      <c r="D46" s="5"/>
      <c r="G46" s="5"/>
      <c r="I46" s="5"/>
      <c r="J46" s="958"/>
      <c r="K46" s="958"/>
      <c r="L46" s="5"/>
    </row>
    <row r="47" spans="1:19" ht="13" x14ac:dyDescent="0.25">
      <c r="A47" s="5"/>
      <c r="D47" s="5"/>
      <c r="G47" s="5"/>
      <c r="I47" s="5"/>
      <c r="J47" s="958"/>
      <c r="K47" s="958"/>
      <c r="L47" s="5"/>
    </row>
    <row r="48" spans="1:19" x14ac:dyDescent="0.25">
      <c r="A48" s="5"/>
      <c r="D48" s="5"/>
      <c r="G48" s="5"/>
      <c r="I48" s="5"/>
      <c r="L48" s="5"/>
    </row>
    <row r="49" spans="1:12" x14ac:dyDescent="0.25">
      <c r="A49" s="5"/>
      <c r="D49" s="5"/>
      <c r="G49" s="5"/>
      <c r="I49" s="5"/>
      <c r="L49" s="5"/>
    </row>
    <row r="50" spans="1:12" x14ac:dyDescent="0.25">
      <c r="A50" s="5"/>
      <c r="D50" s="5"/>
      <c r="G50" s="5"/>
      <c r="I50" s="5"/>
      <c r="L50" s="5"/>
    </row>
    <row r="51" spans="1:12" x14ac:dyDescent="0.25">
      <c r="A51" s="5"/>
      <c r="D51" s="5"/>
      <c r="G51" s="5"/>
      <c r="I51" s="5"/>
      <c r="L51" s="5"/>
    </row>
    <row r="52" spans="1:12" x14ac:dyDescent="0.25">
      <c r="A52" s="5"/>
      <c r="D52" s="5"/>
      <c r="G52" s="5"/>
      <c r="I52" s="5"/>
      <c r="L52" s="5"/>
    </row>
    <row r="53" spans="1:12" x14ac:dyDescent="0.25">
      <c r="A53" s="5"/>
      <c r="D53" s="5"/>
      <c r="G53" s="5"/>
      <c r="I53" s="5"/>
      <c r="L53" s="5"/>
    </row>
    <row r="54" spans="1:12" x14ac:dyDescent="0.25">
      <c r="A54" s="5"/>
      <c r="D54" s="5"/>
      <c r="G54" s="5"/>
      <c r="I54" s="5"/>
      <c r="L54" s="5"/>
    </row>
    <row r="55" spans="1:12" x14ac:dyDescent="0.25">
      <c r="A55" s="5"/>
      <c r="D55" s="5"/>
      <c r="G55" s="5"/>
      <c r="I55" s="5"/>
      <c r="L55" s="5"/>
    </row>
    <row r="56" spans="1:12" x14ac:dyDescent="0.25">
      <c r="A56" s="5"/>
      <c r="D56" s="5"/>
      <c r="G56" s="5"/>
      <c r="I56" s="5"/>
      <c r="L56" s="5"/>
    </row>
    <row r="57" spans="1:12" x14ac:dyDescent="0.25">
      <c r="A57" s="5"/>
      <c r="D57" s="5"/>
      <c r="G57" s="5"/>
      <c r="I57" s="5"/>
      <c r="L57" s="5"/>
    </row>
    <row r="58" spans="1:12" x14ac:dyDescent="0.25">
      <c r="A58" s="5"/>
      <c r="D58" s="5"/>
      <c r="G58" s="5"/>
      <c r="I58" s="5"/>
      <c r="L58" s="5"/>
    </row>
    <row r="59" spans="1:12" x14ac:dyDescent="0.25">
      <c r="A59" s="5"/>
      <c r="D59" s="5"/>
      <c r="G59" s="5"/>
      <c r="I59" s="5"/>
      <c r="L59" s="5"/>
    </row>
    <row r="60" spans="1:12" x14ac:dyDescent="0.25">
      <c r="A60" s="5"/>
      <c r="D60" s="5"/>
      <c r="G60" s="5"/>
      <c r="I60" s="5"/>
      <c r="L60" s="5"/>
    </row>
    <row r="61" spans="1:12" x14ac:dyDescent="0.25">
      <c r="A61" s="5"/>
      <c r="D61" s="5"/>
      <c r="G61" s="5"/>
      <c r="I61" s="5"/>
      <c r="L61" s="5"/>
    </row>
    <row r="62" spans="1:12" x14ac:dyDescent="0.25">
      <c r="A62" s="5"/>
      <c r="D62" s="5"/>
      <c r="G62" s="5"/>
      <c r="I62" s="5"/>
      <c r="L62" s="5"/>
    </row>
    <row r="63" spans="1:12" x14ac:dyDescent="0.25">
      <c r="A63" s="5"/>
      <c r="D63" s="5"/>
      <c r="G63" s="5"/>
      <c r="I63" s="5"/>
      <c r="L63" s="5"/>
    </row>
    <row r="64" spans="1:12" x14ac:dyDescent="0.25">
      <c r="A64" s="5"/>
      <c r="D64" s="5"/>
      <c r="G64" s="5"/>
      <c r="I64" s="5"/>
      <c r="L64" s="5"/>
    </row>
    <row r="65" spans="1:12" x14ac:dyDescent="0.25">
      <c r="A65" s="5"/>
      <c r="D65" s="5"/>
      <c r="G65" s="5"/>
      <c r="I65" s="5"/>
      <c r="L65" s="5"/>
    </row>
    <row r="66" spans="1:12" x14ac:dyDescent="0.25">
      <c r="A66" s="5"/>
      <c r="D66" s="5"/>
      <c r="G66" s="5"/>
      <c r="I66" s="5"/>
      <c r="L66" s="5"/>
    </row>
    <row r="67" spans="1:12" x14ac:dyDescent="0.25">
      <c r="A67" s="5"/>
      <c r="D67" s="5"/>
      <c r="G67" s="5"/>
      <c r="I67" s="5"/>
      <c r="L67" s="5"/>
    </row>
    <row r="68" spans="1:12" x14ac:dyDescent="0.25">
      <c r="A68" s="5"/>
      <c r="D68" s="5"/>
      <c r="G68" s="5"/>
      <c r="I68" s="5"/>
      <c r="L68" s="5"/>
    </row>
    <row r="69" spans="1:12" x14ac:dyDescent="0.25">
      <c r="A69" s="5"/>
      <c r="D69" s="5"/>
      <c r="G69" s="5"/>
      <c r="I69" s="5"/>
      <c r="L69" s="5"/>
    </row>
    <row r="70" spans="1:12" x14ac:dyDescent="0.25">
      <c r="A70" s="5"/>
      <c r="D70" s="5"/>
      <c r="G70" s="5"/>
      <c r="I70" s="5"/>
      <c r="L70" s="5"/>
    </row>
    <row r="71" spans="1:12" x14ac:dyDescent="0.25">
      <c r="A71" s="5"/>
      <c r="D71" s="5"/>
      <c r="G71" s="5"/>
      <c r="I71" s="5"/>
      <c r="L71" s="5"/>
    </row>
    <row r="72" spans="1:12" x14ac:dyDescent="0.25">
      <c r="A72" s="5"/>
      <c r="D72" s="5"/>
      <c r="G72" s="5"/>
      <c r="I72" s="5"/>
      <c r="L72" s="5"/>
    </row>
    <row r="73" spans="1:12" x14ac:dyDescent="0.25">
      <c r="A73" s="5"/>
      <c r="D73" s="5"/>
      <c r="G73" s="5"/>
      <c r="I73" s="5"/>
      <c r="L73" s="5"/>
    </row>
    <row r="74" spans="1:12" x14ac:dyDescent="0.25">
      <c r="A74" s="5"/>
      <c r="D74" s="5"/>
      <c r="G74" s="5"/>
      <c r="I74" s="5"/>
      <c r="L74" s="5"/>
    </row>
    <row r="75" spans="1:12" x14ac:dyDescent="0.25">
      <c r="A75" s="5"/>
      <c r="D75" s="5"/>
      <c r="G75" s="5"/>
      <c r="I75" s="5"/>
      <c r="L75" s="5"/>
    </row>
    <row r="76" spans="1:12" x14ac:dyDescent="0.25">
      <c r="A76" s="5"/>
      <c r="D76" s="5"/>
      <c r="G76" s="5"/>
      <c r="I76" s="5"/>
      <c r="L76" s="5"/>
    </row>
    <row r="77" spans="1:12" x14ac:dyDescent="0.25">
      <c r="A77" s="5"/>
      <c r="D77" s="5"/>
      <c r="G77" s="5"/>
      <c r="I77" s="5"/>
      <c r="L77" s="5"/>
    </row>
    <row r="78" spans="1:12" x14ac:dyDescent="0.25">
      <c r="A78" s="5"/>
      <c r="D78" s="5"/>
      <c r="G78" s="5"/>
      <c r="I78" s="5"/>
      <c r="L78" s="5"/>
    </row>
    <row r="79" spans="1:12" x14ac:dyDescent="0.25">
      <c r="A79" s="5"/>
      <c r="D79" s="5"/>
      <c r="G79" s="5"/>
      <c r="I79" s="5"/>
      <c r="L79" s="5"/>
    </row>
    <row r="80" spans="1:12" x14ac:dyDescent="0.25">
      <c r="A80" s="5"/>
      <c r="D80" s="5"/>
      <c r="G80" s="5"/>
      <c r="I80" s="5"/>
      <c r="L80" s="5"/>
    </row>
    <row r="81" spans="1:12" x14ac:dyDescent="0.25">
      <c r="A81" s="5"/>
      <c r="D81" s="5"/>
      <c r="G81" s="5"/>
      <c r="I81" s="5"/>
      <c r="L81" s="5"/>
    </row>
    <row r="82" spans="1:12" x14ac:dyDescent="0.25">
      <c r="A82" s="5"/>
      <c r="D82" s="5"/>
      <c r="G82" s="5"/>
      <c r="I82" s="5"/>
      <c r="L82" s="5"/>
    </row>
    <row r="83" spans="1:12" x14ac:dyDescent="0.25">
      <c r="A83" s="5"/>
      <c r="D83" s="5"/>
      <c r="G83" s="5"/>
      <c r="I83" s="5"/>
      <c r="L83" s="5"/>
    </row>
    <row r="84" spans="1:12" x14ac:dyDescent="0.25">
      <c r="A84" s="5"/>
      <c r="D84" s="5"/>
      <c r="G84" s="5"/>
      <c r="I84" s="5"/>
      <c r="L84" s="5"/>
    </row>
    <row r="85" spans="1:12" x14ac:dyDescent="0.25">
      <c r="A85" s="5"/>
      <c r="D85" s="5"/>
      <c r="G85" s="5"/>
      <c r="I85" s="5"/>
      <c r="L85" s="5"/>
    </row>
    <row r="86" spans="1:12" x14ac:dyDescent="0.25">
      <c r="A86" s="5"/>
      <c r="D86" s="5"/>
      <c r="G86" s="5"/>
      <c r="I86" s="5"/>
      <c r="L86" s="5"/>
    </row>
    <row r="87" spans="1:12" x14ac:dyDescent="0.25">
      <c r="A87" s="5"/>
      <c r="D87" s="5"/>
      <c r="G87" s="5"/>
      <c r="I87" s="5"/>
      <c r="L87" s="5"/>
    </row>
    <row r="88" spans="1:12" x14ac:dyDescent="0.25">
      <c r="A88" s="5"/>
      <c r="D88" s="5"/>
      <c r="G88" s="5"/>
      <c r="I88" s="5"/>
      <c r="L88" s="5"/>
    </row>
    <row r="89" spans="1:12" x14ac:dyDescent="0.25">
      <c r="A89" s="5"/>
      <c r="D89" s="5"/>
      <c r="G89" s="5"/>
      <c r="I89" s="5"/>
      <c r="L89" s="5"/>
    </row>
    <row r="90" spans="1:12" x14ac:dyDescent="0.25">
      <c r="A90" s="5"/>
      <c r="D90" s="5"/>
      <c r="G90" s="5"/>
      <c r="I90" s="5"/>
      <c r="L90" s="5"/>
    </row>
    <row r="91" spans="1:12" x14ac:dyDescent="0.25">
      <c r="A91" s="5"/>
      <c r="D91" s="5"/>
      <c r="G91" s="5"/>
      <c r="I91" s="5"/>
      <c r="L91" s="5"/>
    </row>
    <row r="92" spans="1:12" x14ac:dyDescent="0.25">
      <c r="A92" s="5"/>
      <c r="D92" s="5"/>
      <c r="G92" s="5"/>
      <c r="I92" s="5"/>
      <c r="L92" s="5"/>
    </row>
    <row r="93" spans="1:12" x14ac:dyDescent="0.25">
      <c r="A93" s="5"/>
      <c r="D93" s="5"/>
      <c r="G93" s="5"/>
      <c r="I93" s="5"/>
      <c r="L93" s="5"/>
    </row>
    <row r="94" spans="1:12" x14ac:dyDescent="0.25">
      <c r="A94" s="5"/>
      <c r="D94" s="5"/>
      <c r="G94" s="5"/>
      <c r="I94" s="5"/>
      <c r="L94" s="5"/>
    </row>
    <row r="95" spans="1:12" x14ac:dyDescent="0.25">
      <c r="A95" s="5"/>
      <c r="D95" s="5"/>
      <c r="G95" s="5"/>
      <c r="I95" s="5"/>
      <c r="L95" s="5"/>
    </row>
    <row r="96" spans="1:12" x14ac:dyDescent="0.25">
      <c r="A96" s="5"/>
      <c r="D96" s="5"/>
      <c r="G96" s="5"/>
      <c r="I96" s="5"/>
      <c r="L96" s="5"/>
    </row>
    <row r="97" spans="1:12" x14ac:dyDescent="0.25">
      <c r="A97" s="5"/>
      <c r="D97" s="5"/>
      <c r="G97" s="5"/>
      <c r="I97" s="5"/>
      <c r="L97" s="5"/>
    </row>
    <row r="98" spans="1:12" x14ac:dyDescent="0.25">
      <c r="A98" s="5"/>
      <c r="D98" s="5"/>
      <c r="G98" s="5"/>
      <c r="I98" s="5"/>
      <c r="L98" s="5"/>
    </row>
    <row r="99" spans="1:12" x14ac:dyDescent="0.25">
      <c r="A99" s="5"/>
      <c r="D99" s="5"/>
      <c r="G99" s="5"/>
      <c r="I99" s="5"/>
      <c r="L99" s="5"/>
    </row>
    <row r="100" spans="1:12" x14ac:dyDescent="0.25">
      <c r="A100" s="5"/>
      <c r="D100" s="5"/>
      <c r="G100" s="5"/>
      <c r="I100" s="5"/>
      <c r="L100" s="5"/>
    </row>
    <row r="101" spans="1:12" x14ac:dyDescent="0.25">
      <c r="A101" s="5"/>
      <c r="D101" s="5"/>
      <c r="G101" s="5"/>
      <c r="I101" s="5"/>
      <c r="L101" s="5"/>
    </row>
    <row r="102" spans="1:12" x14ac:dyDescent="0.25">
      <c r="A102" s="5"/>
      <c r="D102" s="5"/>
      <c r="G102" s="5"/>
      <c r="I102" s="5"/>
      <c r="L102" s="5"/>
    </row>
    <row r="103" spans="1:12" x14ac:dyDescent="0.25">
      <c r="A103" s="5"/>
      <c r="D103" s="5"/>
      <c r="G103" s="5"/>
      <c r="I103" s="5"/>
      <c r="L103" s="5"/>
    </row>
    <row r="104" spans="1:12" x14ac:dyDescent="0.25">
      <c r="A104" s="5"/>
      <c r="D104" s="5"/>
      <c r="G104" s="5"/>
      <c r="I104" s="5"/>
      <c r="L104" s="5"/>
    </row>
    <row r="105" spans="1:12" x14ac:dyDescent="0.25">
      <c r="A105" s="5"/>
      <c r="D105" s="5"/>
      <c r="G105" s="5"/>
      <c r="I105" s="5"/>
      <c r="L105" s="5"/>
    </row>
    <row r="106" spans="1:12" x14ac:dyDescent="0.25">
      <c r="A106" s="5"/>
      <c r="D106" s="5"/>
      <c r="G106" s="5"/>
      <c r="I106" s="5"/>
      <c r="L106" s="5"/>
    </row>
    <row r="107" spans="1:12" x14ac:dyDescent="0.25">
      <c r="A107" s="5"/>
      <c r="D107" s="5"/>
      <c r="G107" s="5"/>
      <c r="I107" s="5"/>
      <c r="L107" s="5"/>
    </row>
    <row r="108" spans="1:12" x14ac:dyDescent="0.25">
      <c r="A108" s="5"/>
      <c r="D108" s="5"/>
      <c r="G108" s="5"/>
      <c r="I108" s="5"/>
      <c r="L108" s="5"/>
    </row>
    <row r="109" spans="1:12" x14ac:dyDescent="0.25">
      <c r="A109" s="5"/>
      <c r="D109" s="5"/>
      <c r="G109" s="5"/>
      <c r="I109" s="5"/>
      <c r="L109" s="5"/>
    </row>
    <row r="110" spans="1:12" x14ac:dyDescent="0.25">
      <c r="A110" s="5"/>
      <c r="D110" s="5"/>
      <c r="G110" s="5"/>
      <c r="I110" s="5"/>
      <c r="L110" s="5"/>
    </row>
    <row r="111" spans="1:12" x14ac:dyDescent="0.25">
      <c r="A111" s="5"/>
      <c r="D111" s="5"/>
      <c r="G111" s="5"/>
      <c r="I111" s="5"/>
      <c r="L111" s="5"/>
    </row>
    <row r="112" spans="1:12" x14ac:dyDescent="0.25">
      <c r="A112" s="5"/>
      <c r="D112" s="5"/>
      <c r="G112" s="5"/>
      <c r="I112" s="5"/>
      <c r="L112" s="5"/>
    </row>
    <row r="113" spans="1:12" x14ac:dyDescent="0.25">
      <c r="A113" s="5"/>
      <c r="D113" s="5"/>
      <c r="G113" s="5"/>
      <c r="I113" s="5"/>
      <c r="L113" s="5"/>
    </row>
    <row r="114" spans="1:12" x14ac:dyDescent="0.25">
      <c r="A114" s="5"/>
      <c r="D114" s="5"/>
      <c r="G114" s="5"/>
      <c r="I114" s="5"/>
      <c r="L114" s="5"/>
    </row>
    <row r="115" spans="1:12" x14ac:dyDescent="0.25">
      <c r="A115" s="5"/>
      <c r="D115" s="5"/>
      <c r="G115" s="5"/>
      <c r="I115" s="5"/>
      <c r="L115" s="5"/>
    </row>
    <row r="116" spans="1:12" x14ac:dyDescent="0.25">
      <c r="A116" s="5"/>
      <c r="D116" s="5"/>
      <c r="G116" s="5"/>
      <c r="I116" s="5"/>
      <c r="L116" s="5"/>
    </row>
    <row r="117" spans="1:12" x14ac:dyDescent="0.25">
      <c r="A117" s="5"/>
      <c r="D117" s="5"/>
      <c r="G117" s="5"/>
      <c r="I117" s="5"/>
      <c r="L117" s="5"/>
    </row>
    <row r="118" spans="1:12" x14ac:dyDescent="0.25">
      <c r="A118" s="5"/>
      <c r="D118" s="5"/>
      <c r="G118" s="5"/>
      <c r="I118" s="5"/>
      <c r="L118" s="5"/>
    </row>
    <row r="119" spans="1:12" x14ac:dyDescent="0.25">
      <c r="A119" s="5"/>
      <c r="D119" s="5"/>
      <c r="G119" s="5"/>
      <c r="I119" s="5"/>
      <c r="L119" s="5"/>
    </row>
    <row r="120" spans="1:12" x14ac:dyDescent="0.25">
      <c r="A120" s="5"/>
      <c r="D120" s="5"/>
      <c r="G120" s="5"/>
      <c r="I120" s="5"/>
      <c r="L120" s="5"/>
    </row>
    <row r="121" spans="1:12" x14ac:dyDescent="0.25">
      <c r="A121" s="5"/>
      <c r="D121" s="5"/>
      <c r="G121" s="5"/>
      <c r="I121" s="5"/>
      <c r="L121" s="5"/>
    </row>
    <row r="122" spans="1:12" x14ac:dyDescent="0.25">
      <c r="A122" s="5"/>
      <c r="D122" s="5"/>
      <c r="G122" s="5"/>
      <c r="I122" s="5"/>
      <c r="L122" s="5"/>
    </row>
    <row r="123" spans="1:12" x14ac:dyDescent="0.25">
      <c r="A123" s="5"/>
      <c r="D123" s="5"/>
      <c r="G123" s="5"/>
      <c r="I123" s="5"/>
      <c r="L123" s="5"/>
    </row>
    <row r="124" spans="1:12" x14ac:dyDescent="0.25">
      <c r="A124" s="5"/>
      <c r="D124" s="5"/>
      <c r="G124" s="5"/>
      <c r="I124" s="5"/>
      <c r="L124" s="5"/>
    </row>
    <row r="125" spans="1:12" x14ac:dyDescent="0.25">
      <c r="A125" s="5"/>
      <c r="D125" s="5"/>
      <c r="G125" s="5"/>
      <c r="I125" s="5"/>
      <c r="L125" s="5"/>
    </row>
    <row r="126" spans="1:12" x14ac:dyDescent="0.25">
      <c r="A126" s="5"/>
      <c r="D126" s="5"/>
      <c r="G126" s="5"/>
      <c r="I126" s="5"/>
      <c r="L126" s="5"/>
    </row>
    <row r="127" spans="1:12" x14ac:dyDescent="0.25">
      <c r="A127" s="5"/>
      <c r="D127" s="5"/>
      <c r="G127" s="5"/>
      <c r="I127" s="5"/>
      <c r="L127" s="5"/>
    </row>
    <row r="128" spans="1:12" x14ac:dyDescent="0.25">
      <c r="A128" s="5"/>
      <c r="D128" s="5"/>
      <c r="G128" s="5"/>
      <c r="I128" s="5"/>
      <c r="L128" s="5"/>
    </row>
    <row r="129" spans="1:12" x14ac:dyDescent="0.25">
      <c r="A129" s="5"/>
      <c r="D129" s="5"/>
      <c r="G129" s="5"/>
      <c r="I129" s="5"/>
      <c r="L129" s="5"/>
    </row>
    <row r="130" spans="1:12" x14ac:dyDescent="0.25">
      <c r="A130" s="5"/>
      <c r="D130" s="5"/>
      <c r="G130" s="5"/>
      <c r="I130" s="5"/>
      <c r="L130" s="5"/>
    </row>
    <row r="131" spans="1:12" x14ac:dyDescent="0.25">
      <c r="A131" s="5"/>
      <c r="D131" s="5"/>
      <c r="G131" s="5"/>
      <c r="I131" s="5"/>
      <c r="L131" s="5"/>
    </row>
    <row r="132" spans="1:12" x14ac:dyDescent="0.25">
      <c r="A132" s="5"/>
      <c r="D132" s="5"/>
      <c r="G132" s="5"/>
      <c r="I132" s="5"/>
      <c r="L132" s="5"/>
    </row>
    <row r="133" spans="1:12" x14ac:dyDescent="0.25">
      <c r="A133" s="5"/>
      <c r="D133" s="5"/>
      <c r="G133" s="5"/>
      <c r="I133" s="5"/>
      <c r="L133" s="5"/>
    </row>
    <row r="134" spans="1:12" x14ac:dyDescent="0.25">
      <c r="A134" s="5"/>
      <c r="D134" s="5"/>
      <c r="G134" s="5"/>
      <c r="I134" s="5"/>
      <c r="L134" s="5"/>
    </row>
    <row r="135" spans="1:12" x14ac:dyDescent="0.25">
      <c r="A135" s="5"/>
      <c r="D135" s="5"/>
      <c r="G135" s="5"/>
      <c r="I135" s="5"/>
      <c r="L135" s="5"/>
    </row>
    <row r="136" spans="1:12" x14ac:dyDescent="0.25">
      <c r="A136" s="5"/>
      <c r="D136" s="5"/>
      <c r="G136" s="5"/>
      <c r="I136" s="5"/>
      <c r="L136" s="5"/>
    </row>
    <row r="137" spans="1:12" x14ac:dyDescent="0.25">
      <c r="A137" s="5"/>
      <c r="D137" s="5"/>
      <c r="G137" s="5"/>
      <c r="I137" s="5"/>
      <c r="L137" s="5"/>
    </row>
    <row r="138" spans="1:12" x14ac:dyDescent="0.25">
      <c r="A138" s="5"/>
      <c r="D138" s="5"/>
      <c r="G138" s="5"/>
      <c r="I138" s="5"/>
      <c r="L138" s="5"/>
    </row>
    <row r="139" spans="1:12" x14ac:dyDescent="0.25">
      <c r="A139" s="5"/>
      <c r="D139" s="5"/>
      <c r="G139" s="5"/>
      <c r="I139" s="5"/>
      <c r="L139" s="5"/>
    </row>
    <row r="140" spans="1:12" x14ac:dyDescent="0.25">
      <c r="A140" s="5"/>
      <c r="D140" s="5"/>
      <c r="G140" s="5"/>
      <c r="I140" s="5"/>
      <c r="L140" s="5"/>
    </row>
    <row r="141" spans="1:12" x14ac:dyDescent="0.25">
      <c r="A141" s="5"/>
      <c r="D141" s="5"/>
      <c r="G141" s="5"/>
      <c r="I141" s="5"/>
      <c r="L141" s="5"/>
    </row>
    <row r="142" spans="1:12" x14ac:dyDescent="0.25">
      <c r="A142" s="5"/>
      <c r="D142" s="5"/>
      <c r="G142" s="5"/>
      <c r="I142" s="5"/>
      <c r="L142" s="5"/>
    </row>
    <row r="143" spans="1:12" x14ac:dyDescent="0.25">
      <c r="A143" s="5"/>
      <c r="D143" s="5"/>
      <c r="G143" s="5"/>
      <c r="I143" s="5"/>
      <c r="L143" s="5"/>
    </row>
    <row r="144" spans="1:12" x14ac:dyDescent="0.25">
      <c r="A144" s="5"/>
      <c r="D144" s="5"/>
      <c r="G144" s="5"/>
      <c r="I144" s="5"/>
      <c r="L144" s="5"/>
    </row>
    <row r="145" spans="1:12" x14ac:dyDescent="0.25">
      <c r="A145" s="5"/>
      <c r="D145" s="5"/>
      <c r="G145" s="5"/>
      <c r="I145" s="5"/>
      <c r="L145" s="5"/>
    </row>
    <row r="146" spans="1:12" x14ac:dyDescent="0.25">
      <c r="A146" s="5"/>
      <c r="D146" s="5"/>
      <c r="G146" s="5"/>
      <c r="I146" s="5"/>
      <c r="L146" s="5"/>
    </row>
    <row r="147" spans="1:12" x14ac:dyDescent="0.25">
      <c r="A147" s="5"/>
      <c r="D147" s="5"/>
      <c r="G147" s="5"/>
      <c r="I147" s="5"/>
      <c r="L147" s="5"/>
    </row>
    <row r="148" spans="1:12" x14ac:dyDescent="0.25">
      <c r="A148" s="5"/>
      <c r="D148" s="5"/>
      <c r="G148" s="5"/>
      <c r="I148" s="5"/>
      <c r="L148" s="5"/>
    </row>
    <row r="149" spans="1:12" x14ac:dyDescent="0.25">
      <c r="A149" s="5"/>
      <c r="D149" s="5"/>
      <c r="G149" s="5"/>
      <c r="I149" s="5"/>
      <c r="L149" s="5"/>
    </row>
    <row r="150" spans="1:12" x14ac:dyDescent="0.25">
      <c r="A150" s="5"/>
      <c r="D150" s="5"/>
      <c r="G150" s="5"/>
      <c r="I150" s="5"/>
      <c r="L150" s="5"/>
    </row>
    <row r="151" spans="1:12" x14ac:dyDescent="0.25">
      <c r="A151" s="5"/>
      <c r="D151" s="5"/>
      <c r="G151" s="5"/>
      <c r="I151" s="5"/>
      <c r="L151" s="5"/>
    </row>
    <row r="152" spans="1:12" x14ac:dyDescent="0.25">
      <c r="A152" s="5"/>
      <c r="D152" s="5"/>
      <c r="G152" s="5"/>
      <c r="I152" s="5"/>
      <c r="L152" s="5"/>
    </row>
    <row r="153" spans="1:12" x14ac:dyDescent="0.25">
      <c r="A153" s="5"/>
      <c r="D153" s="5"/>
      <c r="G153" s="5"/>
      <c r="I153" s="5"/>
      <c r="L153" s="5"/>
    </row>
    <row r="154" spans="1:12" x14ac:dyDescent="0.25">
      <c r="A154" s="5"/>
      <c r="D154" s="5"/>
      <c r="G154" s="5"/>
      <c r="I154" s="5"/>
      <c r="L154" s="5"/>
    </row>
    <row r="155" spans="1:12" x14ac:dyDescent="0.25">
      <c r="A155" s="5"/>
      <c r="D155" s="5"/>
      <c r="G155" s="5"/>
      <c r="I155" s="5"/>
      <c r="L155" s="5"/>
    </row>
    <row r="156" spans="1:12" x14ac:dyDescent="0.25">
      <c r="A156" s="5"/>
      <c r="D156" s="5"/>
      <c r="G156" s="5"/>
      <c r="I156" s="5"/>
      <c r="L156" s="5"/>
    </row>
    <row r="157" spans="1:12" x14ac:dyDescent="0.25">
      <c r="A157" s="5"/>
      <c r="D157" s="5"/>
      <c r="G157" s="5"/>
      <c r="I157" s="5"/>
      <c r="L157" s="5"/>
    </row>
    <row r="158" spans="1:12" x14ac:dyDescent="0.25">
      <c r="A158" s="5"/>
      <c r="D158" s="5"/>
      <c r="G158" s="5"/>
      <c r="I158" s="5"/>
      <c r="L158" s="5"/>
    </row>
    <row r="159" spans="1:12" x14ac:dyDescent="0.25">
      <c r="A159" s="5"/>
      <c r="D159" s="5"/>
      <c r="G159" s="5"/>
      <c r="I159" s="5"/>
      <c r="L159" s="5"/>
    </row>
    <row r="160" spans="1:12" x14ac:dyDescent="0.25">
      <c r="A160" s="5"/>
      <c r="D160" s="5"/>
      <c r="G160" s="5"/>
      <c r="I160" s="5"/>
      <c r="L160" s="5"/>
    </row>
    <row r="161" spans="1:12" x14ac:dyDescent="0.25">
      <c r="A161" s="5"/>
      <c r="D161" s="5"/>
      <c r="G161" s="5"/>
      <c r="I161" s="5"/>
      <c r="L161" s="5"/>
    </row>
    <row r="162" spans="1:12" x14ac:dyDescent="0.25">
      <c r="A162" s="5"/>
      <c r="D162" s="5"/>
      <c r="G162" s="5"/>
      <c r="I162" s="5"/>
      <c r="L162" s="5"/>
    </row>
    <row r="163" spans="1:12" x14ac:dyDescent="0.25">
      <c r="A163" s="5"/>
      <c r="D163" s="5"/>
      <c r="G163" s="5"/>
      <c r="I163" s="5"/>
      <c r="L163" s="5"/>
    </row>
    <row r="164" spans="1:12" x14ac:dyDescent="0.25">
      <c r="A164" s="5"/>
      <c r="D164" s="5"/>
      <c r="G164" s="5"/>
      <c r="I164" s="5"/>
      <c r="L164" s="5"/>
    </row>
    <row r="165" spans="1:12" x14ac:dyDescent="0.25">
      <c r="A165" s="5"/>
      <c r="D165" s="5"/>
      <c r="G165" s="5"/>
      <c r="I165" s="5"/>
      <c r="L165" s="5"/>
    </row>
    <row r="166" spans="1:12" x14ac:dyDescent="0.25">
      <c r="A166" s="5"/>
      <c r="D166" s="5"/>
      <c r="G166" s="5"/>
      <c r="I166" s="5"/>
      <c r="L166" s="5"/>
    </row>
    <row r="167" spans="1:12" x14ac:dyDescent="0.25">
      <c r="A167" s="5"/>
      <c r="D167" s="5"/>
      <c r="G167" s="5"/>
      <c r="I167" s="5"/>
      <c r="L167" s="5"/>
    </row>
    <row r="168" spans="1:12" x14ac:dyDescent="0.25">
      <c r="A168" s="5"/>
      <c r="D168" s="5"/>
      <c r="G168" s="5"/>
      <c r="I168" s="5"/>
      <c r="L168" s="5"/>
    </row>
    <row r="169" spans="1:12" x14ac:dyDescent="0.25">
      <c r="A169" s="5"/>
      <c r="D169" s="5"/>
      <c r="G169" s="5"/>
      <c r="I169" s="5"/>
      <c r="L169" s="5"/>
    </row>
    <row r="170" spans="1:12" x14ac:dyDescent="0.25">
      <c r="A170" s="5"/>
      <c r="D170" s="5"/>
      <c r="G170" s="5"/>
      <c r="I170" s="5"/>
      <c r="L170" s="5"/>
    </row>
    <row r="171" spans="1:12" x14ac:dyDescent="0.25">
      <c r="A171" s="5"/>
      <c r="D171" s="5"/>
      <c r="G171" s="5"/>
      <c r="I171" s="5"/>
      <c r="L171" s="5"/>
    </row>
    <row r="172" spans="1:12" x14ac:dyDescent="0.25">
      <c r="A172" s="5"/>
      <c r="D172" s="5"/>
      <c r="G172" s="5"/>
      <c r="I172" s="5"/>
      <c r="L172" s="5"/>
    </row>
    <row r="173" spans="1:12" x14ac:dyDescent="0.25">
      <c r="A173" s="5"/>
      <c r="D173" s="5"/>
      <c r="G173" s="5"/>
      <c r="I173" s="5"/>
      <c r="L173" s="5"/>
    </row>
    <row r="174" spans="1:12" x14ac:dyDescent="0.25">
      <c r="A174" s="5"/>
      <c r="D174" s="5"/>
      <c r="G174" s="5"/>
      <c r="I174" s="5"/>
      <c r="L174" s="5"/>
    </row>
    <row r="175" spans="1:12" x14ac:dyDescent="0.25">
      <c r="A175" s="5"/>
      <c r="D175" s="5"/>
      <c r="G175" s="5"/>
      <c r="I175" s="5"/>
      <c r="L175" s="5"/>
    </row>
    <row r="176" spans="1:12" x14ac:dyDescent="0.25">
      <c r="A176" s="5"/>
      <c r="D176" s="5"/>
      <c r="G176" s="5"/>
      <c r="I176" s="5"/>
      <c r="L176" s="5"/>
    </row>
    <row r="177" spans="1:12" x14ac:dyDescent="0.25">
      <c r="A177" s="5"/>
      <c r="D177" s="5"/>
      <c r="G177" s="5"/>
      <c r="I177" s="5"/>
      <c r="L177" s="5"/>
    </row>
    <row r="178" spans="1:12" x14ac:dyDescent="0.25">
      <c r="A178" s="5"/>
      <c r="D178" s="5"/>
      <c r="G178" s="5"/>
      <c r="I178" s="5"/>
      <c r="L178" s="5"/>
    </row>
    <row r="179" spans="1:12" x14ac:dyDescent="0.25">
      <c r="A179" s="5"/>
      <c r="D179" s="5"/>
      <c r="G179" s="5"/>
      <c r="I179" s="5"/>
      <c r="L179" s="5"/>
    </row>
    <row r="180" spans="1:12" x14ac:dyDescent="0.25">
      <c r="A180" s="5"/>
      <c r="D180" s="5"/>
      <c r="G180" s="5"/>
      <c r="I180" s="5"/>
      <c r="L180" s="5"/>
    </row>
    <row r="181" spans="1:12" x14ac:dyDescent="0.25">
      <c r="A181" s="5"/>
      <c r="D181" s="5"/>
      <c r="G181" s="5"/>
      <c r="I181" s="5"/>
      <c r="L181" s="5"/>
    </row>
    <row r="182" spans="1:12" x14ac:dyDescent="0.25">
      <c r="A182" s="5"/>
      <c r="D182" s="5"/>
      <c r="G182" s="5"/>
      <c r="I182" s="5"/>
      <c r="L182" s="5"/>
    </row>
    <row r="183" spans="1:12" x14ac:dyDescent="0.25">
      <c r="A183" s="5"/>
      <c r="D183" s="5"/>
      <c r="G183" s="5"/>
      <c r="I183" s="5"/>
      <c r="L183" s="5"/>
    </row>
    <row r="184" spans="1:12" x14ac:dyDescent="0.25">
      <c r="A184" s="5"/>
      <c r="D184" s="5"/>
      <c r="G184" s="5"/>
      <c r="I184" s="5"/>
      <c r="L184" s="5"/>
    </row>
    <row r="185" spans="1:12" x14ac:dyDescent="0.25">
      <c r="A185" s="5"/>
      <c r="D185" s="5"/>
      <c r="G185" s="5"/>
      <c r="I185" s="5"/>
      <c r="L185" s="5"/>
    </row>
    <row r="186" spans="1:12" x14ac:dyDescent="0.25">
      <c r="A186" s="5"/>
      <c r="D186" s="5"/>
      <c r="G186" s="5"/>
      <c r="I186" s="5"/>
      <c r="L186" s="5"/>
    </row>
    <row r="187" spans="1:12" x14ac:dyDescent="0.25">
      <c r="A187" s="5"/>
      <c r="D187" s="5"/>
      <c r="G187" s="5"/>
      <c r="I187" s="5"/>
      <c r="L187" s="5"/>
    </row>
    <row r="188" spans="1:12" x14ac:dyDescent="0.25">
      <c r="A188" s="5"/>
      <c r="D188" s="5"/>
      <c r="G188" s="5"/>
      <c r="I188" s="5"/>
      <c r="L188" s="5"/>
    </row>
    <row r="189" spans="1:12" x14ac:dyDescent="0.25">
      <c r="A189" s="5"/>
      <c r="D189" s="5"/>
      <c r="G189" s="5"/>
      <c r="I189" s="5"/>
      <c r="L189" s="5"/>
    </row>
    <row r="190" spans="1:12" x14ac:dyDescent="0.25">
      <c r="A190" s="5"/>
      <c r="D190" s="5"/>
      <c r="G190" s="5"/>
      <c r="I190" s="5"/>
      <c r="L190" s="5"/>
    </row>
    <row r="191" spans="1:12" x14ac:dyDescent="0.25">
      <c r="A191" s="5"/>
      <c r="D191" s="5"/>
      <c r="G191" s="5"/>
      <c r="I191" s="5"/>
      <c r="L191" s="5"/>
    </row>
    <row r="192" spans="1:12" x14ac:dyDescent="0.25">
      <c r="A192" s="5"/>
      <c r="D192" s="5"/>
      <c r="G192" s="5"/>
      <c r="I192" s="5"/>
      <c r="L192" s="5"/>
    </row>
    <row r="193" spans="1:12" x14ac:dyDescent="0.25">
      <c r="A193" s="5"/>
      <c r="D193" s="5"/>
      <c r="G193" s="5"/>
      <c r="I193" s="5"/>
      <c r="L193" s="5"/>
    </row>
    <row r="194" spans="1:12" x14ac:dyDescent="0.25">
      <c r="A194" s="5"/>
      <c r="D194" s="5"/>
      <c r="G194" s="5"/>
      <c r="I194" s="5"/>
      <c r="L194" s="5"/>
    </row>
    <row r="195" spans="1:12" x14ac:dyDescent="0.25">
      <c r="A195" s="5"/>
      <c r="D195" s="5"/>
      <c r="G195" s="5"/>
      <c r="I195" s="5"/>
      <c r="L195" s="5"/>
    </row>
    <row r="196" spans="1:12" x14ac:dyDescent="0.25">
      <c r="A196" s="5"/>
      <c r="D196" s="5"/>
      <c r="G196" s="5"/>
      <c r="I196" s="5"/>
      <c r="L196" s="5"/>
    </row>
    <row r="197" spans="1:12" x14ac:dyDescent="0.25">
      <c r="A197" s="5"/>
      <c r="D197" s="5"/>
      <c r="G197" s="5"/>
      <c r="I197" s="5"/>
      <c r="L197" s="5"/>
    </row>
    <row r="198" spans="1:12" x14ac:dyDescent="0.25">
      <c r="A198" s="5"/>
      <c r="D198" s="5"/>
      <c r="G198" s="5"/>
      <c r="I198" s="5"/>
      <c r="L198" s="5"/>
    </row>
    <row r="199" spans="1:12" x14ac:dyDescent="0.25">
      <c r="A199" s="5"/>
      <c r="D199" s="5"/>
      <c r="G199" s="5"/>
      <c r="I199" s="5"/>
      <c r="L199" s="5"/>
    </row>
    <row r="200" spans="1:12" x14ac:dyDescent="0.25">
      <c r="A200" s="5"/>
      <c r="D200" s="5"/>
      <c r="G200" s="5"/>
      <c r="I200" s="5"/>
      <c r="L200" s="5"/>
    </row>
    <row r="201" spans="1:12" x14ac:dyDescent="0.25">
      <c r="A201" s="5"/>
      <c r="D201" s="5"/>
      <c r="G201" s="5"/>
      <c r="I201" s="5"/>
      <c r="L201" s="5"/>
    </row>
    <row r="202" spans="1:12" x14ac:dyDescent="0.25">
      <c r="A202" s="5"/>
      <c r="D202" s="5"/>
      <c r="G202" s="5"/>
      <c r="I202" s="5"/>
      <c r="L202" s="5"/>
    </row>
    <row r="203" spans="1:12" x14ac:dyDescent="0.25">
      <c r="A203" s="5"/>
      <c r="D203" s="5"/>
      <c r="G203" s="5"/>
      <c r="I203" s="5"/>
      <c r="L203" s="5"/>
    </row>
    <row r="204" spans="1:12" x14ac:dyDescent="0.25">
      <c r="A204" s="5"/>
      <c r="D204" s="5"/>
      <c r="G204" s="5"/>
      <c r="I204" s="5"/>
      <c r="L204" s="5"/>
    </row>
    <row r="205" spans="1:12" x14ac:dyDescent="0.25">
      <c r="A205" s="5"/>
      <c r="D205" s="5"/>
      <c r="G205" s="5"/>
      <c r="I205" s="5"/>
      <c r="L205" s="5"/>
    </row>
    <row r="206" spans="1:12" x14ac:dyDescent="0.25">
      <c r="A206" s="5"/>
      <c r="D206" s="5"/>
      <c r="G206" s="5"/>
      <c r="I206" s="5"/>
      <c r="L206" s="5"/>
    </row>
    <row r="207" spans="1:12" x14ac:dyDescent="0.25">
      <c r="A207" s="5"/>
      <c r="D207" s="5"/>
      <c r="G207" s="5"/>
      <c r="I207" s="5"/>
      <c r="L207" s="5"/>
    </row>
    <row r="208" spans="1:12" x14ac:dyDescent="0.25">
      <c r="A208" s="5"/>
      <c r="D208" s="5"/>
      <c r="G208" s="5"/>
      <c r="I208" s="5"/>
      <c r="L208" s="5"/>
    </row>
    <row r="209" spans="1:12" x14ac:dyDescent="0.25">
      <c r="A209" s="5"/>
      <c r="D209" s="5"/>
      <c r="G209" s="5"/>
      <c r="I209" s="5"/>
      <c r="L209" s="5"/>
    </row>
    <row r="210" spans="1:12" x14ac:dyDescent="0.25">
      <c r="A210" s="5"/>
      <c r="D210" s="5"/>
      <c r="G210" s="5"/>
      <c r="I210" s="5"/>
      <c r="L210" s="5"/>
    </row>
    <row r="211" spans="1:12" x14ac:dyDescent="0.25">
      <c r="A211" s="5"/>
      <c r="D211" s="5"/>
      <c r="G211" s="5"/>
      <c r="I211" s="5"/>
      <c r="L211" s="5"/>
    </row>
    <row r="212" spans="1:12" x14ac:dyDescent="0.25">
      <c r="A212" s="5"/>
      <c r="D212" s="5"/>
      <c r="G212" s="5"/>
      <c r="I212" s="5"/>
      <c r="L212" s="5"/>
    </row>
    <row r="213" spans="1:12" x14ac:dyDescent="0.25">
      <c r="A213" s="5"/>
      <c r="D213" s="5"/>
      <c r="G213" s="5"/>
      <c r="I213" s="5"/>
      <c r="L213" s="5"/>
    </row>
    <row r="214" spans="1:12" x14ac:dyDescent="0.25">
      <c r="A214" s="5"/>
      <c r="D214" s="5"/>
      <c r="G214" s="5"/>
      <c r="I214" s="5"/>
      <c r="L214" s="5"/>
    </row>
    <row r="215" spans="1:12" x14ac:dyDescent="0.25">
      <c r="A215" s="5"/>
      <c r="D215" s="5"/>
      <c r="G215" s="5"/>
      <c r="I215" s="5"/>
      <c r="L215" s="5"/>
    </row>
    <row r="216" spans="1:12" x14ac:dyDescent="0.25">
      <c r="A216" s="5"/>
      <c r="D216" s="5"/>
      <c r="G216" s="5"/>
      <c r="I216" s="5"/>
      <c r="L216" s="5"/>
    </row>
    <row r="217" spans="1:12" x14ac:dyDescent="0.25">
      <c r="A217" s="5"/>
      <c r="D217" s="5"/>
      <c r="G217" s="5"/>
      <c r="I217" s="5"/>
      <c r="L217" s="5"/>
    </row>
    <row r="218" spans="1:12" x14ac:dyDescent="0.25">
      <c r="A218" s="5"/>
      <c r="D218" s="5"/>
      <c r="G218" s="5"/>
      <c r="I218" s="5"/>
      <c r="L218" s="5"/>
    </row>
    <row r="219" spans="1:12" x14ac:dyDescent="0.25">
      <c r="A219" s="5"/>
      <c r="D219" s="5"/>
      <c r="G219" s="5"/>
      <c r="I219" s="5"/>
      <c r="L219" s="5"/>
    </row>
    <row r="220" spans="1:12" x14ac:dyDescent="0.25">
      <c r="A220" s="5"/>
      <c r="D220" s="5"/>
      <c r="G220" s="5"/>
      <c r="I220" s="5"/>
      <c r="L220" s="5"/>
    </row>
    <row r="221" spans="1:12" x14ac:dyDescent="0.25">
      <c r="A221" s="5"/>
      <c r="D221" s="5"/>
      <c r="G221" s="5"/>
      <c r="I221" s="5"/>
      <c r="L221" s="5"/>
    </row>
    <row r="222" spans="1:12" x14ac:dyDescent="0.25">
      <c r="A222" s="5"/>
      <c r="D222" s="5"/>
      <c r="G222" s="5"/>
      <c r="I222" s="5"/>
      <c r="L222" s="5"/>
    </row>
    <row r="223" spans="1:12" x14ac:dyDescent="0.25">
      <c r="A223" s="5"/>
      <c r="D223" s="5"/>
      <c r="G223" s="5"/>
      <c r="I223" s="5"/>
      <c r="L223" s="5"/>
    </row>
    <row r="224" spans="1:12" x14ac:dyDescent="0.25">
      <c r="A224" s="5"/>
      <c r="D224" s="5"/>
      <c r="G224" s="5"/>
      <c r="I224" s="5"/>
      <c r="L224" s="5"/>
    </row>
    <row r="225" spans="1:12" x14ac:dyDescent="0.25">
      <c r="A225" s="5"/>
      <c r="D225" s="5"/>
      <c r="G225" s="5"/>
      <c r="I225" s="5"/>
      <c r="L225" s="5"/>
    </row>
    <row r="226" spans="1:12" x14ac:dyDescent="0.25">
      <c r="A226" s="5"/>
      <c r="D226" s="5"/>
      <c r="G226" s="5"/>
      <c r="I226" s="5"/>
      <c r="L226" s="5"/>
    </row>
    <row r="227" spans="1:12" x14ac:dyDescent="0.25">
      <c r="A227" s="5"/>
      <c r="D227" s="5"/>
      <c r="G227" s="5"/>
      <c r="I227" s="5"/>
      <c r="L227" s="5"/>
    </row>
    <row r="228" spans="1:12" x14ac:dyDescent="0.25">
      <c r="A228" s="5"/>
      <c r="D228" s="5"/>
      <c r="G228" s="5"/>
      <c r="I228" s="5"/>
      <c r="L228" s="5"/>
    </row>
    <row r="229" spans="1:12" x14ac:dyDescent="0.25">
      <c r="A229" s="5"/>
      <c r="D229" s="5"/>
      <c r="G229" s="5"/>
      <c r="I229" s="5"/>
      <c r="L229" s="5"/>
    </row>
    <row r="230" spans="1:12" x14ac:dyDescent="0.25">
      <c r="A230" s="5"/>
      <c r="D230" s="5"/>
      <c r="G230" s="5"/>
      <c r="I230" s="5"/>
      <c r="L230" s="5"/>
    </row>
    <row r="231" spans="1:12" x14ac:dyDescent="0.25">
      <c r="A231" s="5"/>
      <c r="D231" s="5"/>
      <c r="G231" s="5"/>
      <c r="I231" s="5"/>
      <c r="L231" s="5"/>
    </row>
    <row r="232" spans="1:12" x14ac:dyDescent="0.25">
      <c r="A232" s="5"/>
      <c r="D232" s="5"/>
      <c r="G232" s="5"/>
      <c r="I232" s="5"/>
      <c r="L232" s="5"/>
    </row>
    <row r="233" spans="1:12" x14ac:dyDescent="0.25">
      <c r="A233" s="5"/>
      <c r="D233" s="5"/>
      <c r="G233" s="5"/>
      <c r="I233" s="5"/>
      <c r="L233" s="5"/>
    </row>
    <row r="234" spans="1:12" x14ac:dyDescent="0.25">
      <c r="A234" s="5"/>
      <c r="D234" s="5"/>
      <c r="G234" s="5"/>
      <c r="I234" s="5"/>
      <c r="L234" s="5"/>
    </row>
    <row r="235" spans="1:12" x14ac:dyDescent="0.25">
      <c r="A235" s="5"/>
      <c r="D235" s="5"/>
      <c r="G235" s="5"/>
      <c r="I235" s="5"/>
      <c r="L235" s="5"/>
    </row>
    <row r="236" spans="1:12" x14ac:dyDescent="0.25">
      <c r="A236" s="5"/>
      <c r="D236" s="5"/>
      <c r="G236" s="5"/>
      <c r="I236" s="5"/>
      <c r="L236" s="5"/>
    </row>
    <row r="237" spans="1:12" x14ac:dyDescent="0.25">
      <c r="A237" s="5"/>
      <c r="D237" s="5"/>
      <c r="G237" s="5"/>
      <c r="I237" s="5"/>
      <c r="L237" s="5"/>
    </row>
    <row r="238" spans="1:12" x14ac:dyDescent="0.25">
      <c r="A238" s="5"/>
      <c r="D238" s="5"/>
      <c r="G238" s="5"/>
      <c r="I238" s="5"/>
      <c r="L238" s="5"/>
    </row>
    <row r="239" spans="1:12" x14ac:dyDescent="0.25">
      <c r="A239" s="5"/>
      <c r="D239" s="5"/>
      <c r="G239" s="5"/>
      <c r="I239" s="5"/>
      <c r="L239" s="5"/>
    </row>
    <row r="240" spans="1:12" x14ac:dyDescent="0.25">
      <c r="A240" s="5"/>
      <c r="D240" s="5"/>
      <c r="G240" s="5"/>
      <c r="I240" s="5"/>
      <c r="L240" s="5"/>
    </row>
    <row r="241" spans="1:12" x14ac:dyDescent="0.25">
      <c r="A241" s="5"/>
      <c r="D241" s="5"/>
      <c r="G241" s="5"/>
      <c r="I241" s="5"/>
      <c r="L241" s="5"/>
    </row>
    <row r="242" spans="1:12" x14ac:dyDescent="0.25">
      <c r="A242" s="5"/>
      <c r="D242" s="5"/>
      <c r="G242" s="5"/>
      <c r="I242" s="5"/>
      <c r="L242" s="5"/>
    </row>
    <row r="243" spans="1:12" x14ac:dyDescent="0.25">
      <c r="A243" s="5"/>
      <c r="D243" s="5"/>
      <c r="G243" s="5"/>
      <c r="I243" s="5"/>
      <c r="L243" s="5"/>
    </row>
    <row r="244" spans="1:12" x14ac:dyDescent="0.25">
      <c r="A244" s="5"/>
      <c r="D244" s="5"/>
      <c r="G244" s="5"/>
      <c r="I244" s="5"/>
      <c r="L244" s="5"/>
    </row>
    <row r="245" spans="1:12" x14ac:dyDescent="0.25">
      <c r="A245" s="5"/>
      <c r="D245" s="5"/>
      <c r="G245" s="5"/>
      <c r="I245" s="5"/>
      <c r="L245" s="5"/>
    </row>
    <row r="246" spans="1:12" x14ac:dyDescent="0.25">
      <c r="A246" s="5"/>
      <c r="D246" s="5"/>
      <c r="G246" s="5"/>
      <c r="I246" s="5"/>
      <c r="L246" s="5"/>
    </row>
    <row r="247" spans="1:12" x14ac:dyDescent="0.25">
      <c r="A247" s="5"/>
      <c r="D247" s="5"/>
      <c r="G247" s="5"/>
      <c r="I247" s="5"/>
      <c r="L247" s="5"/>
    </row>
    <row r="248" spans="1:12" x14ac:dyDescent="0.25">
      <c r="A248" s="5"/>
      <c r="D248" s="5"/>
      <c r="G248" s="5"/>
      <c r="I248" s="5"/>
      <c r="L248" s="5"/>
    </row>
    <row r="249" spans="1:12" x14ac:dyDescent="0.25">
      <c r="A249" s="5"/>
      <c r="D249" s="5"/>
      <c r="G249" s="5"/>
      <c r="I249" s="5"/>
      <c r="L249" s="5"/>
    </row>
    <row r="250" spans="1:12" x14ac:dyDescent="0.25">
      <c r="A250" s="5"/>
      <c r="D250" s="5"/>
      <c r="G250" s="5"/>
      <c r="I250" s="5"/>
      <c r="L250" s="5"/>
    </row>
    <row r="251" spans="1:12" x14ac:dyDescent="0.25">
      <c r="A251" s="5"/>
      <c r="D251" s="5"/>
      <c r="G251" s="5"/>
      <c r="I251" s="5"/>
      <c r="L251" s="5"/>
    </row>
    <row r="252" spans="1:12" x14ac:dyDescent="0.25">
      <c r="A252" s="5"/>
      <c r="D252" s="5"/>
      <c r="G252" s="5"/>
      <c r="I252" s="5"/>
      <c r="L252" s="5"/>
    </row>
    <row r="253" spans="1:12" x14ac:dyDescent="0.25">
      <c r="A253" s="5"/>
      <c r="D253" s="5"/>
      <c r="G253" s="5"/>
      <c r="I253" s="5"/>
      <c r="L253" s="5"/>
    </row>
    <row r="254" spans="1:12" x14ac:dyDescent="0.25">
      <c r="A254" s="5"/>
      <c r="D254" s="5"/>
      <c r="G254" s="5"/>
      <c r="I254" s="5"/>
      <c r="L254" s="5"/>
    </row>
    <row r="255" spans="1:12" x14ac:dyDescent="0.25">
      <c r="A255" s="5"/>
      <c r="D255" s="5"/>
      <c r="G255" s="5"/>
      <c r="I255" s="5"/>
      <c r="L255" s="5"/>
    </row>
    <row r="256" spans="1:12" x14ac:dyDescent="0.25">
      <c r="A256" s="5"/>
      <c r="D256" s="5"/>
      <c r="G256" s="5"/>
      <c r="I256" s="5"/>
      <c r="L256" s="5"/>
    </row>
    <row r="257" spans="1:12" x14ac:dyDescent="0.25">
      <c r="A257" s="5"/>
      <c r="D257" s="5"/>
      <c r="G257" s="5"/>
      <c r="I257" s="5"/>
      <c r="L257" s="5"/>
    </row>
    <row r="258" spans="1:12" x14ac:dyDescent="0.25">
      <c r="A258" s="5"/>
      <c r="D258" s="5"/>
      <c r="G258" s="5"/>
      <c r="I258" s="5"/>
      <c r="L258" s="5"/>
    </row>
    <row r="259" spans="1:12" x14ac:dyDescent="0.25">
      <c r="A259" s="5"/>
      <c r="D259" s="5"/>
      <c r="G259" s="5"/>
      <c r="I259" s="5"/>
      <c r="L259" s="5"/>
    </row>
    <row r="260" spans="1:12" x14ac:dyDescent="0.25">
      <c r="A260" s="5"/>
      <c r="D260" s="5"/>
      <c r="G260" s="5"/>
      <c r="I260" s="5"/>
      <c r="L260" s="5"/>
    </row>
    <row r="261" spans="1:12" x14ac:dyDescent="0.25">
      <c r="A261" s="5"/>
      <c r="D261" s="5"/>
      <c r="G261" s="5"/>
      <c r="I261" s="5"/>
      <c r="L261" s="5"/>
    </row>
    <row r="262" spans="1:12" x14ac:dyDescent="0.25">
      <c r="A262" s="5"/>
      <c r="D262" s="5"/>
      <c r="G262" s="5"/>
      <c r="I262" s="5"/>
      <c r="L262" s="5"/>
    </row>
    <row r="263" spans="1:12" x14ac:dyDescent="0.25">
      <c r="A263" s="5"/>
      <c r="D263" s="5"/>
      <c r="G263" s="5"/>
      <c r="I263" s="5"/>
      <c r="L263" s="5"/>
    </row>
    <row r="264" spans="1:12" x14ac:dyDescent="0.25">
      <c r="A264" s="5"/>
      <c r="D264" s="5"/>
      <c r="G264" s="5"/>
      <c r="I264" s="5"/>
      <c r="L264" s="5"/>
    </row>
    <row r="265" spans="1:12" x14ac:dyDescent="0.25">
      <c r="A265" s="5"/>
      <c r="D265" s="5"/>
      <c r="G265" s="5"/>
      <c r="I265" s="5"/>
      <c r="L265" s="5"/>
    </row>
    <row r="266" spans="1:12" x14ac:dyDescent="0.25">
      <c r="A266" s="5"/>
      <c r="D266" s="5"/>
      <c r="G266" s="5"/>
      <c r="I266" s="5"/>
      <c r="L266" s="5"/>
    </row>
    <row r="267" spans="1:12" x14ac:dyDescent="0.25">
      <c r="A267" s="5"/>
      <c r="D267" s="5"/>
      <c r="G267" s="5"/>
      <c r="I267" s="5"/>
      <c r="L267" s="5"/>
    </row>
    <row r="268" spans="1:12" x14ac:dyDescent="0.25">
      <c r="A268" s="5"/>
      <c r="D268" s="5"/>
      <c r="G268" s="5"/>
      <c r="I268" s="5"/>
      <c r="L268" s="5"/>
    </row>
    <row r="269" spans="1:12" x14ac:dyDescent="0.25">
      <c r="A269" s="5"/>
      <c r="D269" s="5"/>
      <c r="G269" s="5"/>
      <c r="I269" s="5"/>
      <c r="L269" s="5"/>
    </row>
    <row r="270" spans="1:12" x14ac:dyDescent="0.25">
      <c r="A270" s="5"/>
      <c r="D270" s="5"/>
      <c r="G270" s="5"/>
      <c r="I270" s="5"/>
      <c r="L270" s="5"/>
    </row>
    <row r="271" spans="1:12" x14ac:dyDescent="0.25">
      <c r="A271" s="5"/>
      <c r="D271" s="5"/>
      <c r="G271" s="5"/>
      <c r="I271" s="5"/>
      <c r="L271" s="5"/>
    </row>
    <row r="272" spans="1:12" x14ac:dyDescent="0.25">
      <c r="A272" s="5"/>
      <c r="D272" s="5"/>
      <c r="G272" s="5"/>
      <c r="I272" s="5"/>
      <c r="L272" s="5"/>
    </row>
    <row r="273" spans="1:12" x14ac:dyDescent="0.25">
      <c r="A273" s="5"/>
      <c r="D273" s="5"/>
      <c r="G273" s="5"/>
      <c r="I273" s="5"/>
      <c r="L273" s="5"/>
    </row>
    <row r="274" spans="1:12" x14ac:dyDescent="0.25">
      <c r="A274" s="5"/>
      <c r="D274" s="5"/>
      <c r="G274" s="5"/>
      <c r="I274" s="5"/>
      <c r="L274" s="5"/>
    </row>
    <row r="275" spans="1:12" x14ac:dyDescent="0.25">
      <c r="A275" s="5"/>
      <c r="D275" s="5"/>
      <c r="G275" s="5"/>
      <c r="I275" s="5"/>
      <c r="L275" s="5"/>
    </row>
    <row r="276" spans="1:12" x14ac:dyDescent="0.25">
      <c r="A276" s="5"/>
      <c r="D276" s="5"/>
      <c r="G276" s="5"/>
      <c r="I276" s="5"/>
      <c r="L276" s="5"/>
    </row>
    <row r="277" spans="1:12" x14ac:dyDescent="0.25">
      <c r="A277" s="5"/>
      <c r="D277" s="5"/>
      <c r="G277" s="5"/>
      <c r="I277" s="5"/>
      <c r="L277" s="5"/>
    </row>
    <row r="278" spans="1:12" x14ac:dyDescent="0.25">
      <c r="A278" s="5"/>
      <c r="D278" s="5"/>
      <c r="G278" s="5"/>
      <c r="I278" s="5"/>
      <c r="L278" s="5"/>
    </row>
    <row r="279" spans="1:12" x14ac:dyDescent="0.25">
      <c r="A279" s="5"/>
      <c r="D279" s="5"/>
      <c r="G279" s="5"/>
      <c r="I279" s="5"/>
      <c r="L279" s="5"/>
    </row>
    <row r="280" spans="1:12" x14ac:dyDescent="0.25">
      <c r="A280" s="5"/>
      <c r="D280" s="5"/>
      <c r="G280" s="5"/>
      <c r="I280" s="5"/>
      <c r="L280" s="5"/>
    </row>
    <row r="281" spans="1:12" x14ac:dyDescent="0.25">
      <c r="A281" s="5"/>
      <c r="D281" s="5"/>
      <c r="G281" s="5"/>
      <c r="I281" s="5"/>
      <c r="L281" s="5"/>
    </row>
    <row r="282" spans="1:12" x14ac:dyDescent="0.25">
      <c r="A282" s="5"/>
      <c r="D282" s="5"/>
      <c r="G282" s="5"/>
      <c r="I282" s="5"/>
      <c r="L282" s="5"/>
    </row>
    <row r="283" spans="1:12" x14ac:dyDescent="0.25">
      <c r="A283" s="5"/>
      <c r="D283" s="5"/>
      <c r="G283" s="5"/>
      <c r="I283" s="5"/>
      <c r="L283" s="5"/>
    </row>
    <row r="284" spans="1:12" x14ac:dyDescent="0.25">
      <c r="A284" s="5"/>
      <c r="D284" s="5"/>
      <c r="G284" s="5"/>
      <c r="I284" s="5"/>
      <c r="L284" s="5"/>
    </row>
    <row r="285" spans="1:12" x14ac:dyDescent="0.25">
      <c r="A285" s="5"/>
      <c r="D285" s="5"/>
      <c r="G285" s="5"/>
      <c r="I285" s="5"/>
      <c r="L285" s="5"/>
    </row>
    <row r="286" spans="1:12" x14ac:dyDescent="0.25">
      <c r="A286" s="5"/>
      <c r="D286" s="5"/>
      <c r="G286" s="5"/>
      <c r="I286" s="5"/>
      <c r="L286" s="5"/>
    </row>
    <row r="287" spans="1:12" x14ac:dyDescent="0.25">
      <c r="A287" s="5"/>
      <c r="D287" s="5"/>
      <c r="G287" s="5"/>
      <c r="I287" s="5"/>
      <c r="L287" s="5"/>
    </row>
    <row r="288" spans="1:12" x14ac:dyDescent="0.25">
      <c r="A288" s="5"/>
      <c r="D288" s="5"/>
      <c r="G288" s="5"/>
      <c r="I288" s="5"/>
      <c r="L288" s="5"/>
    </row>
    <row r="289" spans="1:12" x14ac:dyDescent="0.25">
      <c r="A289" s="5"/>
      <c r="D289" s="5"/>
      <c r="G289" s="5"/>
      <c r="I289" s="5"/>
      <c r="L289" s="5"/>
    </row>
    <row r="290" spans="1:12" x14ac:dyDescent="0.25">
      <c r="A290" s="5"/>
      <c r="D290" s="5"/>
      <c r="G290" s="5"/>
      <c r="I290" s="5"/>
      <c r="L290" s="5"/>
    </row>
    <row r="291" spans="1:12" x14ac:dyDescent="0.25">
      <c r="A291" s="5"/>
      <c r="D291" s="5"/>
      <c r="G291" s="5"/>
      <c r="I291" s="5"/>
      <c r="L291" s="5"/>
    </row>
    <row r="292" spans="1:12" x14ac:dyDescent="0.25">
      <c r="A292" s="5"/>
      <c r="D292" s="5"/>
      <c r="G292" s="5"/>
      <c r="I292" s="5"/>
      <c r="L292" s="5"/>
    </row>
    <row r="293" spans="1:12" x14ac:dyDescent="0.25">
      <c r="A293" s="5"/>
      <c r="D293" s="5"/>
      <c r="G293" s="5"/>
      <c r="I293" s="5"/>
      <c r="L293" s="5"/>
    </row>
    <row r="294" spans="1:12" x14ac:dyDescent="0.25">
      <c r="A294" s="5"/>
      <c r="D294" s="5"/>
      <c r="G294" s="5"/>
      <c r="I294" s="5"/>
      <c r="L294" s="5"/>
    </row>
    <row r="295" spans="1:12" x14ac:dyDescent="0.25">
      <c r="A295" s="5"/>
      <c r="D295" s="5"/>
      <c r="G295" s="5"/>
      <c r="I295" s="5"/>
      <c r="L295" s="5"/>
    </row>
    <row r="296" spans="1:12" x14ac:dyDescent="0.25">
      <c r="A296" s="5"/>
      <c r="D296" s="5"/>
      <c r="G296" s="5"/>
      <c r="I296" s="5"/>
      <c r="L296" s="5"/>
    </row>
    <row r="297" spans="1:12" x14ac:dyDescent="0.25">
      <c r="A297" s="5"/>
      <c r="D297" s="5"/>
      <c r="G297" s="5"/>
      <c r="I297" s="5"/>
      <c r="L297" s="5"/>
    </row>
    <row r="298" spans="1:12" x14ac:dyDescent="0.25">
      <c r="A298" s="5"/>
      <c r="D298" s="5"/>
      <c r="G298" s="5"/>
      <c r="I298" s="5"/>
      <c r="L298" s="5"/>
    </row>
    <row r="299" spans="1:12" x14ac:dyDescent="0.25">
      <c r="A299" s="5"/>
      <c r="D299" s="5"/>
      <c r="G299" s="5"/>
      <c r="I299" s="5"/>
      <c r="L299" s="5"/>
    </row>
    <row r="300" spans="1:12" x14ac:dyDescent="0.25">
      <c r="A300" s="5"/>
      <c r="D300" s="5"/>
      <c r="G300" s="5"/>
      <c r="I300" s="5"/>
      <c r="L300" s="5"/>
    </row>
    <row r="301" spans="1:12" x14ac:dyDescent="0.25">
      <c r="A301" s="5"/>
      <c r="D301" s="5"/>
      <c r="G301" s="5"/>
      <c r="I301" s="5"/>
      <c r="L301" s="5"/>
    </row>
    <row r="302" spans="1:12" x14ac:dyDescent="0.25">
      <c r="A302" s="5"/>
      <c r="D302" s="5"/>
      <c r="G302" s="5"/>
      <c r="I302" s="5"/>
      <c r="L302" s="5"/>
    </row>
    <row r="303" spans="1:12" x14ac:dyDescent="0.25">
      <c r="A303" s="5"/>
      <c r="D303" s="5"/>
      <c r="G303" s="5"/>
      <c r="I303" s="5"/>
      <c r="L303" s="5"/>
    </row>
    <row r="304" spans="1:12" x14ac:dyDescent="0.25">
      <c r="A304" s="5"/>
      <c r="D304" s="5"/>
      <c r="G304" s="5"/>
      <c r="I304" s="5"/>
      <c r="L304" s="5"/>
    </row>
    <row r="305" spans="1:12" x14ac:dyDescent="0.25">
      <c r="A305" s="5"/>
      <c r="D305" s="5"/>
      <c r="G305" s="5"/>
      <c r="I305" s="5"/>
      <c r="L305" s="5"/>
    </row>
    <row r="306" spans="1:12" x14ac:dyDescent="0.25">
      <c r="A306" s="5"/>
      <c r="D306" s="5"/>
      <c r="G306" s="5"/>
      <c r="I306" s="5"/>
      <c r="L306" s="5"/>
    </row>
    <row r="307" spans="1:12" x14ac:dyDescent="0.25">
      <c r="A307" s="5"/>
      <c r="D307" s="5"/>
      <c r="G307" s="5"/>
      <c r="I307" s="5"/>
      <c r="L307" s="5"/>
    </row>
    <row r="308" spans="1:12" x14ac:dyDescent="0.25">
      <c r="A308" s="5"/>
      <c r="D308" s="5"/>
      <c r="G308" s="5"/>
      <c r="I308" s="5"/>
      <c r="L308" s="5"/>
    </row>
    <row r="309" spans="1:12" x14ac:dyDescent="0.25">
      <c r="A309" s="5"/>
      <c r="D309" s="5"/>
      <c r="G309" s="5"/>
      <c r="I309" s="5"/>
      <c r="L309" s="5"/>
    </row>
    <row r="310" spans="1:12" x14ac:dyDescent="0.25">
      <c r="A310" s="5"/>
      <c r="D310" s="5"/>
      <c r="G310" s="5"/>
      <c r="I310" s="5"/>
      <c r="L310" s="5"/>
    </row>
    <row r="311" spans="1:12" x14ac:dyDescent="0.25">
      <c r="A311" s="5"/>
      <c r="D311" s="5"/>
      <c r="G311" s="5"/>
      <c r="I311" s="5"/>
      <c r="L311" s="5"/>
    </row>
    <row r="312" spans="1:12" x14ac:dyDescent="0.25">
      <c r="A312" s="5"/>
      <c r="D312" s="5"/>
      <c r="G312" s="5"/>
      <c r="I312" s="5"/>
      <c r="L312" s="5"/>
    </row>
    <row r="313" spans="1:12" x14ac:dyDescent="0.25">
      <c r="A313" s="5"/>
      <c r="D313" s="5"/>
      <c r="G313" s="5"/>
      <c r="I313" s="5"/>
      <c r="L313" s="5"/>
    </row>
    <row r="314" spans="1:12" x14ac:dyDescent="0.25">
      <c r="A314" s="5"/>
      <c r="D314" s="5"/>
      <c r="G314" s="5"/>
      <c r="I314" s="5"/>
      <c r="L314" s="5"/>
    </row>
    <row r="315" spans="1:12" x14ac:dyDescent="0.25">
      <c r="A315" s="5"/>
      <c r="D315" s="5"/>
      <c r="G315" s="5"/>
      <c r="I315" s="5"/>
      <c r="L315" s="5"/>
    </row>
    <row r="316" spans="1:12" x14ac:dyDescent="0.25">
      <c r="A316" s="5"/>
      <c r="D316" s="5"/>
      <c r="G316" s="5"/>
      <c r="I316" s="5"/>
      <c r="L316" s="5"/>
    </row>
    <row r="317" spans="1:12" x14ac:dyDescent="0.25">
      <c r="A317" s="5"/>
      <c r="D317" s="5"/>
      <c r="G317" s="5"/>
      <c r="I317" s="5"/>
      <c r="L317" s="5"/>
    </row>
    <row r="318" spans="1:12" x14ac:dyDescent="0.25">
      <c r="A318" s="5"/>
      <c r="D318" s="5"/>
      <c r="G318" s="5"/>
      <c r="I318" s="5"/>
      <c r="L318" s="5"/>
    </row>
    <row r="319" spans="1:12" x14ac:dyDescent="0.25">
      <c r="A319" s="5"/>
      <c r="D319" s="5"/>
      <c r="G319" s="5"/>
      <c r="I319" s="5"/>
      <c r="L319" s="5"/>
    </row>
    <row r="320" spans="1:12" x14ac:dyDescent="0.25">
      <c r="A320" s="5"/>
      <c r="D320" s="5"/>
      <c r="G320" s="5"/>
      <c r="I320" s="5"/>
      <c r="L320" s="5"/>
    </row>
    <row r="321" spans="1:12" x14ac:dyDescent="0.25">
      <c r="A321" s="5"/>
      <c r="D321" s="5"/>
      <c r="G321" s="5"/>
      <c r="I321" s="5"/>
      <c r="L321" s="5"/>
    </row>
    <row r="322" spans="1:12" x14ac:dyDescent="0.25">
      <c r="A322" s="5"/>
      <c r="D322" s="5"/>
      <c r="G322" s="5"/>
      <c r="I322" s="5"/>
      <c r="L322" s="5"/>
    </row>
    <row r="323" spans="1:12" x14ac:dyDescent="0.25">
      <c r="A323" s="5"/>
      <c r="D323" s="5"/>
      <c r="G323" s="5"/>
      <c r="I323" s="5"/>
      <c r="L323" s="5"/>
    </row>
    <row r="324" spans="1:12" x14ac:dyDescent="0.25">
      <c r="A324" s="5"/>
      <c r="D324" s="5"/>
      <c r="G324" s="5"/>
      <c r="I324" s="5"/>
      <c r="L324" s="5"/>
    </row>
    <row r="325" spans="1:12" x14ac:dyDescent="0.25">
      <c r="A325" s="5"/>
      <c r="D325" s="5"/>
      <c r="G325" s="5"/>
      <c r="I325" s="5"/>
      <c r="L325" s="5"/>
    </row>
    <row r="326" spans="1:12" x14ac:dyDescent="0.25">
      <c r="A326" s="5"/>
      <c r="D326" s="5"/>
      <c r="G326" s="5"/>
      <c r="I326" s="5"/>
      <c r="L326" s="5"/>
    </row>
    <row r="327" spans="1:12" x14ac:dyDescent="0.25">
      <c r="A327" s="5"/>
      <c r="D327" s="5"/>
      <c r="G327" s="5"/>
      <c r="I327" s="5"/>
      <c r="L327" s="5"/>
    </row>
    <row r="328" spans="1:12" x14ac:dyDescent="0.25">
      <c r="A328" s="5"/>
      <c r="D328" s="5"/>
      <c r="G328" s="5"/>
      <c r="I328" s="5"/>
      <c r="L328" s="5"/>
    </row>
    <row r="329" spans="1:12" x14ac:dyDescent="0.25">
      <c r="A329" s="5"/>
      <c r="D329" s="5"/>
      <c r="G329" s="5"/>
      <c r="I329" s="5"/>
      <c r="L329" s="5"/>
    </row>
    <row r="330" spans="1:12" x14ac:dyDescent="0.25">
      <c r="A330" s="5"/>
      <c r="D330" s="5"/>
      <c r="G330" s="5"/>
      <c r="I330" s="5"/>
      <c r="L330" s="5"/>
    </row>
    <row r="331" spans="1:12" x14ac:dyDescent="0.25">
      <c r="A331" s="5"/>
      <c r="D331" s="5"/>
      <c r="G331" s="5"/>
      <c r="I331" s="5"/>
      <c r="L331" s="5"/>
    </row>
    <row r="332" spans="1:12" x14ac:dyDescent="0.25">
      <c r="A332" s="5"/>
      <c r="D332" s="5"/>
      <c r="G332" s="5"/>
      <c r="I332" s="5"/>
      <c r="L332" s="5"/>
    </row>
    <row r="333" spans="1:12" x14ac:dyDescent="0.25">
      <c r="A333" s="5"/>
      <c r="D333" s="5"/>
      <c r="G333" s="5"/>
      <c r="I333" s="5"/>
      <c r="L333" s="5"/>
    </row>
    <row r="334" spans="1:12" x14ac:dyDescent="0.25">
      <c r="A334" s="5"/>
      <c r="D334" s="5"/>
      <c r="G334" s="5"/>
      <c r="I334" s="5"/>
      <c r="L334" s="5"/>
    </row>
    <row r="335" spans="1:12" x14ac:dyDescent="0.25">
      <c r="A335" s="5"/>
      <c r="D335" s="5"/>
      <c r="G335" s="5"/>
      <c r="I335" s="5"/>
      <c r="L335" s="5"/>
    </row>
    <row r="336" spans="1:12" x14ac:dyDescent="0.25">
      <c r="A336" s="5"/>
      <c r="D336" s="5"/>
      <c r="G336" s="5"/>
      <c r="I336" s="5"/>
      <c r="L336" s="5"/>
    </row>
    <row r="337" spans="1:12" x14ac:dyDescent="0.25">
      <c r="A337" s="5"/>
      <c r="D337" s="5"/>
      <c r="G337" s="5"/>
      <c r="I337" s="5"/>
      <c r="L337" s="5"/>
    </row>
    <row r="338" spans="1:12" x14ac:dyDescent="0.25">
      <c r="A338" s="5"/>
      <c r="D338" s="5"/>
      <c r="G338" s="5"/>
      <c r="I338" s="5"/>
      <c r="L338" s="5"/>
    </row>
    <row r="339" spans="1:12" x14ac:dyDescent="0.25">
      <c r="A339" s="5"/>
      <c r="D339" s="5"/>
      <c r="G339" s="5"/>
      <c r="I339" s="5"/>
      <c r="L339" s="5"/>
    </row>
    <row r="340" spans="1:12" x14ac:dyDescent="0.25">
      <c r="A340" s="5"/>
      <c r="D340" s="5"/>
      <c r="G340" s="5"/>
      <c r="I340" s="5"/>
      <c r="L340" s="5"/>
    </row>
    <row r="341" spans="1:12" x14ac:dyDescent="0.25">
      <c r="A341" s="5"/>
      <c r="D341" s="5"/>
      <c r="G341" s="5"/>
      <c r="I341" s="5"/>
      <c r="L341" s="5"/>
    </row>
    <row r="342" spans="1:12" x14ac:dyDescent="0.25">
      <c r="A342" s="5"/>
      <c r="D342" s="5"/>
      <c r="G342" s="5"/>
      <c r="I342" s="5"/>
      <c r="L342" s="5"/>
    </row>
    <row r="343" spans="1:12" x14ac:dyDescent="0.25">
      <c r="A343" s="5"/>
      <c r="D343" s="5"/>
      <c r="G343" s="5"/>
      <c r="I343" s="5"/>
      <c r="L343" s="5"/>
    </row>
    <row r="344" spans="1:12" x14ac:dyDescent="0.25">
      <c r="A344" s="5"/>
      <c r="D344" s="5"/>
      <c r="G344" s="5"/>
      <c r="I344" s="5"/>
      <c r="L344" s="5"/>
    </row>
    <row r="345" spans="1:12" x14ac:dyDescent="0.25">
      <c r="A345" s="5"/>
      <c r="D345" s="5"/>
      <c r="G345" s="5"/>
      <c r="I345" s="5"/>
      <c r="L345" s="5"/>
    </row>
    <row r="346" spans="1:12" x14ac:dyDescent="0.25">
      <c r="A346" s="5"/>
      <c r="D346" s="5"/>
      <c r="G346" s="5"/>
      <c r="I346" s="5"/>
      <c r="L346" s="5"/>
    </row>
    <row r="347" spans="1:12" x14ac:dyDescent="0.25">
      <c r="A347" s="5"/>
      <c r="D347" s="5"/>
      <c r="G347" s="5"/>
      <c r="I347" s="5"/>
      <c r="L347" s="5"/>
    </row>
    <row r="348" spans="1:12" x14ac:dyDescent="0.25">
      <c r="A348" s="5"/>
      <c r="D348" s="5"/>
      <c r="G348" s="5"/>
      <c r="I348" s="5"/>
      <c r="L348" s="5"/>
    </row>
    <row r="349" spans="1:12" x14ac:dyDescent="0.25">
      <c r="A349" s="5"/>
      <c r="D349" s="5"/>
      <c r="G349" s="5"/>
      <c r="I349" s="5"/>
      <c r="L349" s="5"/>
    </row>
    <row r="350" spans="1:12" x14ac:dyDescent="0.25">
      <c r="A350" s="5"/>
      <c r="D350" s="5"/>
      <c r="G350" s="5"/>
      <c r="I350" s="5"/>
      <c r="L350" s="5"/>
    </row>
    <row r="351" spans="1:12" x14ac:dyDescent="0.25">
      <c r="A351" s="5"/>
      <c r="D351" s="5"/>
      <c r="G351" s="5"/>
      <c r="I351" s="5"/>
      <c r="L351" s="5"/>
    </row>
    <row r="352" spans="1:12" x14ac:dyDescent="0.25">
      <c r="A352" s="5"/>
      <c r="D352" s="5"/>
      <c r="G352" s="5"/>
      <c r="I352" s="5"/>
      <c r="L352" s="5"/>
    </row>
    <row r="353" spans="1:12" x14ac:dyDescent="0.25">
      <c r="A353" s="5"/>
      <c r="D353" s="5"/>
      <c r="G353" s="5"/>
      <c r="I353" s="5"/>
      <c r="L353" s="5"/>
    </row>
    <row r="354" spans="1:12" x14ac:dyDescent="0.25">
      <c r="A354" s="5"/>
      <c r="D354" s="5"/>
      <c r="G354" s="5"/>
      <c r="I354" s="5"/>
      <c r="L354" s="5"/>
    </row>
    <row r="355" spans="1:12" x14ac:dyDescent="0.25">
      <c r="A355" s="5"/>
      <c r="D355" s="5"/>
      <c r="G355" s="5"/>
      <c r="I355" s="5"/>
      <c r="L355" s="5"/>
    </row>
    <row r="356" spans="1:12" x14ac:dyDescent="0.25">
      <c r="A356" s="5"/>
      <c r="D356" s="5"/>
      <c r="G356" s="5"/>
      <c r="I356" s="5"/>
      <c r="L356" s="5"/>
    </row>
    <row r="357" spans="1:12" x14ac:dyDescent="0.25">
      <c r="A357" s="5"/>
      <c r="D357" s="5"/>
      <c r="G357" s="5"/>
      <c r="I357" s="5"/>
      <c r="L357" s="5"/>
    </row>
    <row r="358" spans="1:12" x14ac:dyDescent="0.25">
      <c r="A358" s="5"/>
      <c r="D358" s="5"/>
      <c r="G358" s="5"/>
      <c r="I358" s="5"/>
      <c r="L358" s="5"/>
    </row>
    <row r="359" spans="1:12" x14ac:dyDescent="0.25">
      <c r="A359" s="5"/>
      <c r="D359" s="5"/>
      <c r="G359" s="5"/>
      <c r="I359" s="5"/>
      <c r="L359" s="5"/>
    </row>
    <row r="360" spans="1:12" x14ac:dyDescent="0.25">
      <c r="A360" s="5"/>
      <c r="D360" s="5"/>
      <c r="G360" s="5"/>
      <c r="I360" s="5"/>
      <c r="L360" s="5"/>
    </row>
    <row r="361" spans="1:12" x14ac:dyDescent="0.25">
      <c r="A361" s="5"/>
      <c r="D361" s="5"/>
      <c r="G361" s="5"/>
      <c r="I361" s="5"/>
      <c r="L361" s="5"/>
    </row>
    <row r="362" spans="1:12" x14ac:dyDescent="0.25">
      <c r="A362" s="5"/>
      <c r="D362" s="5"/>
      <c r="G362" s="5"/>
      <c r="I362" s="5"/>
      <c r="L362" s="5"/>
    </row>
    <row r="363" spans="1:12" x14ac:dyDescent="0.25">
      <c r="A363" s="5"/>
      <c r="D363" s="5"/>
      <c r="G363" s="5"/>
      <c r="I363" s="5"/>
      <c r="L363" s="5"/>
    </row>
    <row r="364" spans="1:12" x14ac:dyDescent="0.25">
      <c r="A364" s="5"/>
      <c r="D364" s="5"/>
      <c r="G364" s="5"/>
      <c r="I364" s="5"/>
      <c r="L364" s="5"/>
    </row>
    <row r="365" spans="1:12" x14ac:dyDescent="0.25">
      <c r="A365" s="5"/>
      <c r="D365" s="5"/>
      <c r="G365" s="5"/>
      <c r="I365" s="5"/>
      <c r="L365" s="5"/>
    </row>
    <row r="366" spans="1:12" x14ac:dyDescent="0.25">
      <c r="A366" s="5"/>
      <c r="D366" s="5"/>
      <c r="G366" s="5"/>
      <c r="I366" s="5"/>
      <c r="L366" s="5"/>
    </row>
    <row r="367" spans="1:12" x14ac:dyDescent="0.25">
      <c r="A367" s="5"/>
      <c r="D367" s="5"/>
      <c r="G367" s="5"/>
      <c r="I367" s="5"/>
      <c r="L367" s="5"/>
    </row>
    <row r="368" spans="1:12" x14ac:dyDescent="0.25">
      <c r="A368" s="5"/>
      <c r="D368" s="5"/>
      <c r="G368" s="5"/>
      <c r="I368" s="5"/>
      <c r="L368" s="5"/>
    </row>
    <row r="369" spans="1:12" x14ac:dyDescent="0.25">
      <c r="A369" s="5"/>
      <c r="D369" s="5"/>
      <c r="G369" s="5"/>
      <c r="I369" s="5"/>
      <c r="L369" s="5"/>
    </row>
    <row r="370" spans="1:12" x14ac:dyDescent="0.25">
      <c r="A370" s="5"/>
      <c r="D370" s="5"/>
      <c r="G370" s="5"/>
      <c r="I370" s="5"/>
      <c r="L370" s="5"/>
    </row>
    <row r="371" spans="1:12" x14ac:dyDescent="0.25">
      <c r="A371" s="5"/>
      <c r="D371" s="5"/>
      <c r="G371" s="5"/>
      <c r="I371" s="5"/>
      <c r="L371" s="5"/>
    </row>
    <row r="372" spans="1:12" x14ac:dyDescent="0.25">
      <c r="A372" s="5"/>
      <c r="D372" s="5"/>
      <c r="G372" s="5"/>
      <c r="I372" s="5"/>
      <c r="L372" s="5"/>
    </row>
    <row r="373" spans="1:12" x14ac:dyDescent="0.25">
      <c r="A373" s="5"/>
      <c r="D373" s="5"/>
      <c r="G373" s="5"/>
      <c r="I373" s="5"/>
      <c r="L373" s="5"/>
    </row>
    <row r="374" spans="1:12" x14ac:dyDescent="0.25">
      <c r="A374" s="5"/>
      <c r="D374" s="5"/>
      <c r="G374" s="5"/>
      <c r="I374" s="5"/>
      <c r="L374" s="5"/>
    </row>
    <row r="375" spans="1:12" x14ac:dyDescent="0.25">
      <c r="A375" s="5"/>
      <c r="D375" s="5"/>
      <c r="G375" s="5"/>
      <c r="I375" s="5"/>
      <c r="L375" s="5"/>
    </row>
    <row r="376" spans="1:12" x14ac:dyDescent="0.25">
      <c r="A376" s="5"/>
      <c r="D376" s="5"/>
      <c r="G376" s="5"/>
      <c r="I376" s="5"/>
      <c r="L376" s="5"/>
    </row>
    <row r="377" spans="1:12" x14ac:dyDescent="0.25">
      <c r="A377" s="5"/>
      <c r="D377" s="5"/>
      <c r="G377" s="5"/>
      <c r="I377" s="5"/>
      <c r="L377" s="5"/>
    </row>
    <row r="378" spans="1:12" x14ac:dyDescent="0.25">
      <c r="A378" s="5"/>
      <c r="D378" s="5"/>
      <c r="G378" s="5"/>
      <c r="I378" s="5"/>
      <c r="L378" s="5"/>
    </row>
    <row r="379" spans="1:12" x14ac:dyDescent="0.25">
      <c r="A379" s="5"/>
      <c r="D379" s="5"/>
      <c r="G379" s="5"/>
      <c r="I379" s="5"/>
      <c r="L379" s="5"/>
    </row>
    <row r="380" spans="1:12" x14ac:dyDescent="0.25">
      <c r="A380" s="5"/>
      <c r="D380" s="5"/>
      <c r="G380" s="5"/>
      <c r="I380" s="5"/>
      <c r="L380" s="5"/>
    </row>
    <row r="381" spans="1:12" x14ac:dyDescent="0.25">
      <c r="A381" s="5"/>
      <c r="D381" s="5"/>
      <c r="G381" s="5"/>
      <c r="I381" s="5"/>
      <c r="L381" s="5"/>
    </row>
    <row r="382" spans="1:12" x14ac:dyDescent="0.25">
      <c r="A382" s="5"/>
      <c r="D382" s="5"/>
      <c r="G382" s="5"/>
      <c r="I382" s="5"/>
      <c r="L382" s="5"/>
    </row>
    <row r="383" spans="1:12" x14ac:dyDescent="0.25">
      <c r="A383" s="5"/>
      <c r="D383" s="5"/>
      <c r="G383" s="5"/>
      <c r="I383" s="5"/>
      <c r="L383" s="5"/>
    </row>
    <row r="384" spans="1:12" x14ac:dyDescent="0.25">
      <c r="A384" s="5"/>
      <c r="D384" s="5"/>
      <c r="G384" s="5"/>
      <c r="I384" s="5"/>
      <c r="L384" s="5"/>
    </row>
    <row r="385" spans="1:12" x14ac:dyDescent="0.25">
      <c r="A385" s="5"/>
      <c r="D385" s="5"/>
      <c r="G385" s="5"/>
      <c r="I385" s="5"/>
      <c r="L385" s="5"/>
    </row>
    <row r="386" spans="1:12" x14ac:dyDescent="0.25">
      <c r="A386" s="5"/>
      <c r="D386" s="5"/>
      <c r="G386" s="5"/>
      <c r="I386" s="5"/>
      <c r="L386" s="5"/>
    </row>
    <row r="387" spans="1:12" x14ac:dyDescent="0.25">
      <c r="A387" s="5"/>
      <c r="D387" s="5"/>
      <c r="G387" s="5"/>
      <c r="I387" s="5"/>
      <c r="L387" s="5"/>
    </row>
    <row r="388" spans="1:12" x14ac:dyDescent="0.25">
      <c r="A388" s="5"/>
      <c r="D388" s="5"/>
      <c r="G388" s="5"/>
      <c r="I388" s="5"/>
      <c r="L388" s="5"/>
    </row>
    <row r="389" spans="1:12" x14ac:dyDescent="0.25">
      <c r="A389" s="5"/>
      <c r="D389" s="5"/>
      <c r="G389" s="5"/>
      <c r="I389" s="5"/>
      <c r="L389" s="5"/>
    </row>
    <row r="390" spans="1:12" x14ac:dyDescent="0.25">
      <c r="A390" s="5"/>
      <c r="D390" s="5"/>
      <c r="G390" s="5"/>
      <c r="I390" s="5"/>
      <c r="L390" s="5"/>
    </row>
    <row r="391" spans="1:12" x14ac:dyDescent="0.25">
      <c r="A391" s="5"/>
      <c r="D391" s="5"/>
      <c r="G391" s="5"/>
      <c r="I391" s="5"/>
      <c r="L391" s="5"/>
    </row>
    <row r="392" spans="1:12" x14ac:dyDescent="0.25">
      <c r="A392" s="5"/>
      <c r="D392" s="5"/>
      <c r="G392" s="5"/>
      <c r="I392" s="5"/>
      <c r="L392" s="5"/>
    </row>
    <row r="393" spans="1:12" x14ac:dyDescent="0.25">
      <c r="A393" s="5"/>
      <c r="D393" s="5"/>
      <c r="G393" s="5"/>
      <c r="I393" s="5"/>
      <c r="L393" s="5"/>
    </row>
    <row r="394" spans="1:12" x14ac:dyDescent="0.25">
      <c r="A394" s="5"/>
      <c r="D394" s="5"/>
      <c r="G394" s="5"/>
      <c r="I394" s="5"/>
      <c r="L394" s="5"/>
    </row>
    <row r="395" spans="1:12" x14ac:dyDescent="0.25">
      <c r="A395" s="5"/>
      <c r="D395" s="5"/>
      <c r="G395" s="5"/>
      <c r="I395" s="5"/>
      <c r="L395" s="5"/>
    </row>
    <row r="396" spans="1:12" x14ac:dyDescent="0.25">
      <c r="A396" s="5"/>
      <c r="D396" s="5"/>
      <c r="G396" s="5"/>
      <c r="I396" s="5"/>
      <c r="L396" s="5"/>
    </row>
    <row r="397" spans="1:12" x14ac:dyDescent="0.25">
      <c r="A397" s="5"/>
      <c r="D397" s="5"/>
      <c r="G397" s="5"/>
      <c r="I397" s="5"/>
      <c r="L397" s="5"/>
    </row>
    <row r="398" spans="1:12" x14ac:dyDescent="0.25">
      <c r="A398" s="5"/>
      <c r="D398" s="5"/>
      <c r="G398" s="5"/>
      <c r="I398" s="5"/>
      <c r="L398" s="5"/>
    </row>
    <row r="399" spans="1:12" x14ac:dyDescent="0.25">
      <c r="A399" s="5"/>
      <c r="D399" s="5"/>
      <c r="G399" s="5"/>
      <c r="I399" s="5"/>
      <c r="L399" s="5"/>
    </row>
    <row r="400" spans="1:12" x14ac:dyDescent="0.25">
      <c r="A400" s="5"/>
      <c r="D400" s="5"/>
      <c r="G400" s="5"/>
      <c r="I400" s="5"/>
      <c r="L400" s="5"/>
    </row>
    <row r="401" spans="1:12" x14ac:dyDescent="0.25">
      <c r="A401" s="5"/>
      <c r="D401" s="5"/>
      <c r="G401" s="5"/>
      <c r="I401" s="5"/>
      <c r="L401" s="5"/>
    </row>
    <row r="402" spans="1:12" x14ac:dyDescent="0.25">
      <c r="A402" s="5"/>
      <c r="D402" s="5"/>
      <c r="G402" s="5"/>
      <c r="I402" s="5"/>
      <c r="L402" s="5"/>
    </row>
    <row r="403" spans="1:12" x14ac:dyDescent="0.25">
      <c r="A403" s="5"/>
      <c r="D403" s="5"/>
      <c r="G403" s="5"/>
      <c r="I403" s="5"/>
      <c r="L403" s="5"/>
    </row>
    <row r="404" spans="1:12" x14ac:dyDescent="0.25">
      <c r="A404" s="5"/>
      <c r="D404" s="5"/>
      <c r="G404" s="5"/>
      <c r="I404" s="5"/>
      <c r="L404" s="5"/>
    </row>
    <row r="405" spans="1:12" x14ac:dyDescent="0.25">
      <c r="A405" s="5"/>
      <c r="D405" s="5"/>
      <c r="G405" s="5"/>
      <c r="I405" s="5"/>
      <c r="L405" s="5"/>
    </row>
    <row r="406" spans="1:12" x14ac:dyDescent="0.25">
      <c r="A406" s="5"/>
      <c r="D406" s="5"/>
      <c r="G406" s="5"/>
      <c r="I406" s="5"/>
      <c r="L406" s="5"/>
    </row>
    <row r="407" spans="1:12" x14ac:dyDescent="0.25">
      <c r="A407" s="5"/>
      <c r="D407" s="5"/>
      <c r="G407" s="5"/>
      <c r="I407" s="5"/>
      <c r="L407" s="5"/>
    </row>
    <row r="408" spans="1:12" x14ac:dyDescent="0.25">
      <c r="A408" s="5"/>
      <c r="D408" s="5"/>
      <c r="G408" s="5"/>
      <c r="I408" s="5"/>
      <c r="L408" s="5"/>
    </row>
    <row r="409" spans="1:12" x14ac:dyDescent="0.25">
      <c r="A409" s="5"/>
      <c r="D409" s="5"/>
      <c r="G409" s="5"/>
      <c r="I409" s="5"/>
      <c r="L409" s="5"/>
    </row>
    <row r="410" spans="1:12" x14ac:dyDescent="0.25">
      <c r="A410" s="5"/>
      <c r="D410" s="5"/>
      <c r="G410" s="5"/>
      <c r="I410" s="5"/>
      <c r="L410" s="5"/>
    </row>
    <row r="411" spans="1:12" x14ac:dyDescent="0.25">
      <c r="A411" s="5"/>
      <c r="D411" s="5"/>
      <c r="G411" s="5"/>
      <c r="I411" s="5"/>
      <c r="L411" s="5"/>
    </row>
    <row r="412" spans="1:12" x14ac:dyDescent="0.25">
      <c r="A412" s="5"/>
      <c r="D412" s="5"/>
      <c r="G412" s="5"/>
      <c r="I412" s="5"/>
      <c r="L412" s="5"/>
    </row>
    <row r="413" spans="1:12" x14ac:dyDescent="0.25">
      <c r="A413" s="5"/>
      <c r="D413" s="5"/>
      <c r="G413" s="5"/>
      <c r="I413" s="5"/>
      <c r="L413" s="5"/>
    </row>
    <row r="414" spans="1:12" x14ac:dyDescent="0.25">
      <c r="A414" s="5"/>
      <c r="D414" s="5"/>
      <c r="G414" s="5"/>
      <c r="I414" s="5"/>
      <c r="L414" s="5"/>
    </row>
    <row r="415" spans="1:12" x14ac:dyDescent="0.25">
      <c r="A415" s="5"/>
      <c r="D415" s="5"/>
      <c r="G415" s="5"/>
      <c r="I415" s="5"/>
      <c r="L415" s="5"/>
    </row>
    <row r="416" spans="1:12" x14ac:dyDescent="0.25">
      <c r="A416" s="5"/>
      <c r="D416" s="5"/>
      <c r="G416" s="5"/>
      <c r="I416" s="5"/>
      <c r="L416" s="5"/>
    </row>
    <row r="417" spans="1:12" x14ac:dyDescent="0.25">
      <c r="A417" s="5"/>
      <c r="D417" s="5"/>
      <c r="G417" s="5"/>
      <c r="I417" s="5"/>
      <c r="L417" s="5"/>
    </row>
    <row r="418" spans="1:12" x14ac:dyDescent="0.25">
      <c r="A418" s="5"/>
      <c r="D418" s="5"/>
      <c r="G418" s="5"/>
      <c r="I418" s="5"/>
      <c r="L418" s="5"/>
    </row>
    <row r="419" spans="1:12" x14ac:dyDescent="0.25">
      <c r="A419" s="5"/>
      <c r="D419" s="5"/>
      <c r="G419" s="5"/>
      <c r="I419" s="5"/>
      <c r="L419" s="5"/>
    </row>
    <row r="420" spans="1:12" x14ac:dyDescent="0.25">
      <c r="A420" s="5"/>
      <c r="D420" s="5"/>
      <c r="G420" s="5"/>
      <c r="I420" s="5"/>
      <c r="L420" s="5"/>
    </row>
    <row r="421" spans="1:12" x14ac:dyDescent="0.25">
      <c r="A421" s="5"/>
      <c r="D421" s="5"/>
      <c r="G421" s="5"/>
      <c r="I421" s="5"/>
      <c r="L421" s="5"/>
    </row>
    <row r="422" spans="1:12" x14ac:dyDescent="0.25">
      <c r="A422" s="5"/>
      <c r="D422" s="5"/>
      <c r="G422" s="5"/>
      <c r="I422" s="5"/>
      <c r="L422" s="5"/>
    </row>
    <row r="423" spans="1:12" x14ac:dyDescent="0.25">
      <c r="A423" s="5"/>
      <c r="D423" s="5"/>
      <c r="G423" s="5"/>
      <c r="I423" s="5"/>
      <c r="L423" s="5"/>
    </row>
    <row r="424" spans="1:12" x14ac:dyDescent="0.25">
      <c r="A424" s="5"/>
      <c r="D424" s="5"/>
      <c r="G424" s="5"/>
      <c r="I424" s="5"/>
      <c r="L424" s="5"/>
    </row>
    <row r="425" spans="1:12" x14ac:dyDescent="0.25">
      <c r="A425" s="5"/>
      <c r="D425" s="5"/>
      <c r="G425" s="5"/>
      <c r="I425" s="5"/>
      <c r="L425" s="5"/>
    </row>
    <row r="426" spans="1:12" x14ac:dyDescent="0.25">
      <c r="A426" s="5"/>
      <c r="D426" s="5"/>
      <c r="G426" s="5"/>
      <c r="I426" s="5"/>
      <c r="L426" s="5"/>
    </row>
    <row r="427" spans="1:12" x14ac:dyDescent="0.25">
      <c r="A427" s="5"/>
      <c r="D427" s="5"/>
      <c r="G427" s="5"/>
      <c r="I427" s="5"/>
      <c r="L427" s="5"/>
    </row>
    <row r="428" spans="1:12" x14ac:dyDescent="0.25">
      <c r="A428" s="5"/>
      <c r="D428" s="5"/>
      <c r="G428" s="5"/>
      <c r="I428" s="5"/>
      <c r="L428" s="5"/>
    </row>
    <row r="429" spans="1:12" x14ac:dyDescent="0.25">
      <c r="A429" s="5"/>
      <c r="D429" s="5"/>
      <c r="G429" s="5"/>
      <c r="I429" s="5"/>
      <c r="L429" s="5"/>
    </row>
    <row r="430" spans="1:12" x14ac:dyDescent="0.25">
      <c r="A430" s="5"/>
      <c r="D430" s="5"/>
      <c r="G430" s="5"/>
      <c r="I430" s="5"/>
      <c r="L430" s="5"/>
    </row>
    <row r="431" spans="1:12" x14ac:dyDescent="0.25">
      <c r="A431" s="5"/>
      <c r="D431" s="5"/>
      <c r="G431" s="5"/>
      <c r="I431" s="5"/>
      <c r="L431" s="5"/>
    </row>
    <row r="432" spans="1:12" x14ac:dyDescent="0.25">
      <c r="A432" s="5"/>
      <c r="D432" s="5"/>
      <c r="G432" s="5"/>
      <c r="I432" s="5"/>
      <c r="L432" s="5"/>
    </row>
    <row r="433" spans="1:12" x14ac:dyDescent="0.25">
      <c r="A433" s="5"/>
      <c r="D433" s="5"/>
      <c r="G433" s="5"/>
      <c r="I433" s="5"/>
      <c r="L433" s="5"/>
    </row>
    <row r="434" spans="1:12" x14ac:dyDescent="0.25">
      <c r="A434" s="5"/>
      <c r="D434" s="5"/>
      <c r="G434" s="5"/>
      <c r="I434" s="5"/>
      <c r="L434" s="5"/>
    </row>
    <row r="435" spans="1:12" x14ac:dyDescent="0.25">
      <c r="A435" s="5"/>
      <c r="D435" s="5"/>
      <c r="G435" s="5"/>
      <c r="I435" s="5"/>
      <c r="L435" s="5"/>
    </row>
    <row r="436" spans="1:12" x14ac:dyDescent="0.25">
      <c r="A436" s="5"/>
      <c r="D436" s="5"/>
      <c r="G436" s="5"/>
      <c r="I436" s="5"/>
      <c r="L436" s="5"/>
    </row>
    <row r="437" spans="1:12" x14ac:dyDescent="0.25">
      <c r="A437" s="5"/>
      <c r="D437" s="5"/>
      <c r="G437" s="5"/>
      <c r="I437" s="5"/>
      <c r="L437" s="5"/>
    </row>
    <row r="438" spans="1:12" x14ac:dyDescent="0.25">
      <c r="A438" s="5"/>
      <c r="D438" s="5"/>
      <c r="G438" s="5"/>
      <c r="I438" s="5"/>
      <c r="L438" s="5"/>
    </row>
    <row r="439" spans="1:12" x14ac:dyDescent="0.25">
      <c r="A439" s="5"/>
      <c r="D439" s="5"/>
      <c r="G439" s="5"/>
      <c r="I439" s="5"/>
      <c r="L439" s="5"/>
    </row>
    <row r="440" spans="1:12" x14ac:dyDescent="0.25">
      <c r="A440" s="5"/>
      <c r="D440" s="5"/>
      <c r="G440" s="5"/>
      <c r="I440" s="5"/>
      <c r="L440" s="5"/>
    </row>
    <row r="441" spans="1:12" x14ac:dyDescent="0.25">
      <c r="A441" s="5"/>
      <c r="D441" s="5"/>
      <c r="G441" s="5"/>
      <c r="I441" s="5"/>
      <c r="L441" s="5"/>
    </row>
    <row r="442" spans="1:12" x14ac:dyDescent="0.25">
      <c r="A442" s="5"/>
      <c r="D442" s="5"/>
      <c r="G442" s="5"/>
      <c r="I442" s="5"/>
      <c r="L442" s="5"/>
    </row>
    <row r="443" spans="1:12" x14ac:dyDescent="0.25">
      <c r="A443" s="5"/>
      <c r="D443" s="5"/>
      <c r="G443" s="5"/>
      <c r="I443" s="5"/>
      <c r="L443" s="5"/>
    </row>
    <row r="444" spans="1:12" x14ac:dyDescent="0.25">
      <c r="A444" s="5"/>
      <c r="D444" s="5"/>
      <c r="G444" s="5"/>
      <c r="I444" s="5"/>
      <c r="L444" s="5"/>
    </row>
    <row r="445" spans="1:12" x14ac:dyDescent="0.25">
      <c r="A445" s="5"/>
      <c r="D445" s="5"/>
      <c r="G445" s="5"/>
      <c r="I445" s="5"/>
      <c r="L445" s="5"/>
    </row>
    <row r="446" spans="1:12" x14ac:dyDescent="0.25">
      <c r="A446" s="5"/>
      <c r="D446" s="5"/>
      <c r="G446" s="5"/>
      <c r="I446" s="5"/>
      <c r="L446" s="5"/>
    </row>
    <row r="447" spans="1:12" x14ac:dyDescent="0.25">
      <c r="A447" s="5"/>
      <c r="D447" s="5"/>
      <c r="G447" s="5"/>
      <c r="I447" s="5"/>
      <c r="L447" s="5"/>
    </row>
    <row r="448" spans="1:12" x14ac:dyDescent="0.25">
      <c r="A448" s="5"/>
      <c r="D448" s="5"/>
      <c r="G448" s="5"/>
      <c r="I448" s="5"/>
      <c r="L448" s="5"/>
    </row>
    <row r="449" spans="1:12" x14ac:dyDescent="0.25">
      <c r="A449" s="5"/>
      <c r="D449" s="5"/>
      <c r="G449" s="5"/>
      <c r="I449" s="5"/>
      <c r="L449" s="5"/>
    </row>
    <row r="450" spans="1:12" x14ac:dyDescent="0.25">
      <c r="A450" s="5"/>
      <c r="D450" s="5"/>
      <c r="G450" s="5"/>
      <c r="I450" s="5"/>
      <c r="L450" s="5"/>
    </row>
    <row r="451" spans="1:12" x14ac:dyDescent="0.25">
      <c r="A451" s="5"/>
      <c r="D451" s="5"/>
      <c r="G451" s="5"/>
      <c r="I451" s="5"/>
      <c r="L451" s="5"/>
    </row>
    <row r="452" spans="1:12" x14ac:dyDescent="0.25">
      <c r="A452" s="5"/>
      <c r="D452" s="5"/>
      <c r="G452" s="5"/>
      <c r="I452" s="5"/>
      <c r="L452" s="5"/>
    </row>
    <row r="453" spans="1:12" x14ac:dyDescent="0.25">
      <c r="A453" s="5"/>
      <c r="D453" s="5"/>
      <c r="G453" s="5"/>
      <c r="I453" s="5"/>
      <c r="L453" s="5"/>
    </row>
    <row r="454" spans="1:12" x14ac:dyDescent="0.25">
      <c r="A454" s="5"/>
      <c r="D454" s="5"/>
      <c r="G454" s="5"/>
      <c r="I454" s="5"/>
      <c r="L454" s="5"/>
    </row>
    <row r="455" spans="1:12" x14ac:dyDescent="0.25">
      <c r="A455" s="5"/>
      <c r="D455" s="5"/>
      <c r="G455" s="5"/>
      <c r="I455" s="5"/>
      <c r="L455" s="5"/>
    </row>
    <row r="456" spans="1:12" x14ac:dyDescent="0.25">
      <c r="A456" s="5"/>
      <c r="D456" s="5"/>
      <c r="G456" s="5"/>
      <c r="I456" s="5"/>
      <c r="L456" s="5"/>
    </row>
    <row r="457" spans="1:12" x14ac:dyDescent="0.25">
      <c r="A457" s="5"/>
      <c r="D457" s="5"/>
      <c r="G457" s="5"/>
      <c r="I457" s="5"/>
      <c r="L457" s="5"/>
    </row>
    <row r="458" spans="1:12" x14ac:dyDescent="0.25">
      <c r="A458" s="5"/>
      <c r="D458" s="5"/>
      <c r="G458" s="5"/>
      <c r="I458" s="5"/>
      <c r="L458" s="5"/>
    </row>
    <row r="459" spans="1:12" x14ac:dyDescent="0.25">
      <c r="A459" s="5"/>
      <c r="D459" s="5"/>
      <c r="G459" s="5"/>
      <c r="I459" s="5"/>
      <c r="L459" s="5"/>
    </row>
    <row r="460" spans="1:12" x14ac:dyDescent="0.25">
      <c r="A460" s="5"/>
      <c r="D460" s="5"/>
      <c r="G460" s="5"/>
      <c r="I460" s="5"/>
      <c r="L460" s="5"/>
    </row>
    <row r="461" spans="1:12" x14ac:dyDescent="0.25">
      <c r="A461" s="5"/>
      <c r="D461" s="5"/>
      <c r="G461" s="5"/>
      <c r="I461" s="5"/>
      <c r="L461" s="5"/>
    </row>
    <row r="462" spans="1:12" x14ac:dyDescent="0.25">
      <c r="A462" s="5"/>
      <c r="D462" s="5"/>
      <c r="G462" s="5"/>
      <c r="I462" s="5"/>
      <c r="L462" s="5"/>
    </row>
    <row r="463" spans="1:12" x14ac:dyDescent="0.25">
      <c r="A463" s="5"/>
      <c r="D463" s="5"/>
      <c r="G463" s="5"/>
      <c r="I463" s="5"/>
      <c r="L463" s="5"/>
    </row>
    <row r="464" spans="1:12" x14ac:dyDescent="0.25">
      <c r="A464" s="5"/>
      <c r="D464" s="5"/>
      <c r="G464" s="5"/>
      <c r="I464" s="5"/>
      <c r="L464" s="5"/>
    </row>
    <row r="465" spans="1:12" x14ac:dyDescent="0.25">
      <c r="A465" s="5"/>
      <c r="D465" s="5"/>
      <c r="G465" s="5"/>
      <c r="I465" s="5"/>
      <c r="L465" s="5"/>
    </row>
    <row r="466" spans="1:12" x14ac:dyDescent="0.25">
      <c r="A466" s="5"/>
      <c r="D466" s="5"/>
      <c r="G466" s="5"/>
      <c r="I466" s="5"/>
      <c r="L466" s="5"/>
    </row>
    <row r="467" spans="1:12" x14ac:dyDescent="0.25">
      <c r="A467" s="5"/>
      <c r="D467" s="5"/>
      <c r="G467" s="5"/>
      <c r="I467" s="5"/>
      <c r="L467" s="5"/>
    </row>
    <row r="468" spans="1:12" x14ac:dyDescent="0.25">
      <c r="A468" s="5"/>
      <c r="D468" s="5"/>
      <c r="G468" s="5"/>
      <c r="I468" s="5"/>
      <c r="L468" s="5"/>
    </row>
    <row r="469" spans="1:12" x14ac:dyDescent="0.25">
      <c r="A469" s="5"/>
      <c r="D469" s="5"/>
      <c r="G469" s="5"/>
      <c r="I469" s="5"/>
      <c r="L469" s="5"/>
    </row>
    <row r="470" spans="1:12" x14ac:dyDescent="0.25">
      <c r="A470" s="5"/>
      <c r="D470" s="5"/>
      <c r="G470" s="5"/>
      <c r="I470" s="5"/>
      <c r="L470" s="5"/>
    </row>
    <row r="471" spans="1:12" x14ac:dyDescent="0.25">
      <c r="A471" s="5"/>
      <c r="D471" s="5"/>
      <c r="G471" s="5"/>
      <c r="I471" s="5"/>
      <c r="L471" s="5"/>
    </row>
    <row r="472" spans="1:12" x14ac:dyDescent="0.25">
      <c r="A472" s="5"/>
      <c r="D472" s="5"/>
      <c r="G472" s="5"/>
      <c r="I472" s="5"/>
      <c r="L472" s="5"/>
    </row>
    <row r="473" spans="1:12" x14ac:dyDescent="0.25">
      <c r="A473" s="5"/>
      <c r="D473" s="5"/>
      <c r="G473" s="5"/>
      <c r="I473" s="5"/>
      <c r="L473" s="5"/>
    </row>
    <row r="474" spans="1:12" x14ac:dyDescent="0.25">
      <c r="A474" s="5"/>
      <c r="D474" s="5"/>
      <c r="G474" s="5"/>
      <c r="I474" s="5"/>
      <c r="L474" s="5"/>
    </row>
    <row r="475" spans="1:12" x14ac:dyDescent="0.25">
      <c r="A475" s="5"/>
      <c r="D475" s="5"/>
      <c r="G475" s="5"/>
      <c r="I475" s="5"/>
      <c r="L475" s="5"/>
    </row>
    <row r="476" spans="1:12" x14ac:dyDescent="0.25">
      <c r="A476" s="5"/>
      <c r="D476" s="5"/>
      <c r="G476" s="5"/>
      <c r="I476" s="5"/>
      <c r="L476" s="5"/>
    </row>
    <row r="477" spans="1:12" x14ac:dyDescent="0.25">
      <c r="A477" s="5"/>
      <c r="D477" s="5"/>
      <c r="G477" s="5"/>
      <c r="I477" s="5"/>
      <c r="L477" s="5"/>
    </row>
    <row r="478" spans="1:12" x14ac:dyDescent="0.25">
      <c r="A478" s="5"/>
      <c r="D478" s="5"/>
      <c r="G478" s="5"/>
      <c r="I478" s="5"/>
      <c r="L478" s="5"/>
    </row>
    <row r="479" spans="1:12" x14ac:dyDescent="0.25">
      <c r="A479" s="5"/>
      <c r="D479" s="5"/>
      <c r="G479" s="5"/>
      <c r="I479" s="5"/>
      <c r="L479" s="5"/>
    </row>
    <row r="480" spans="1:12" x14ac:dyDescent="0.25">
      <c r="A480" s="5"/>
      <c r="D480" s="5"/>
      <c r="G480" s="5"/>
      <c r="I480" s="5"/>
      <c r="L480" s="5"/>
    </row>
    <row r="481" spans="1:12" x14ac:dyDescent="0.25">
      <c r="A481" s="5"/>
      <c r="D481" s="5"/>
      <c r="G481" s="5"/>
      <c r="I481" s="5"/>
      <c r="L481" s="5"/>
    </row>
    <row r="482" spans="1:12" x14ac:dyDescent="0.25">
      <c r="A482" s="5"/>
      <c r="D482" s="5"/>
      <c r="G482" s="5"/>
      <c r="I482" s="5"/>
      <c r="L482" s="5"/>
    </row>
    <row r="483" spans="1:12" x14ac:dyDescent="0.25">
      <c r="A483" s="5"/>
      <c r="D483" s="5"/>
      <c r="G483" s="5"/>
      <c r="I483" s="5"/>
      <c r="L483" s="5"/>
    </row>
    <row r="484" spans="1:12" x14ac:dyDescent="0.25">
      <c r="A484" s="5"/>
      <c r="D484" s="5"/>
      <c r="G484" s="5"/>
      <c r="I484" s="5"/>
      <c r="L484" s="5"/>
    </row>
    <row r="485" spans="1:12" x14ac:dyDescent="0.25">
      <c r="A485" s="5"/>
      <c r="D485" s="5"/>
      <c r="G485" s="5"/>
      <c r="I485" s="5"/>
      <c r="L485" s="5"/>
    </row>
    <row r="486" spans="1:12" x14ac:dyDescent="0.25">
      <c r="A486" s="5"/>
      <c r="D486" s="5"/>
      <c r="G486" s="5"/>
      <c r="I486" s="5"/>
      <c r="L486" s="5"/>
    </row>
    <row r="487" spans="1:12" x14ac:dyDescent="0.25">
      <c r="A487" s="5"/>
      <c r="D487" s="5"/>
      <c r="G487" s="5"/>
      <c r="I487" s="5"/>
      <c r="L487" s="5"/>
    </row>
    <row r="488" spans="1:12" x14ac:dyDescent="0.25">
      <c r="A488" s="5"/>
      <c r="D488" s="5"/>
      <c r="G488" s="5"/>
      <c r="I488" s="5"/>
      <c r="L488" s="5"/>
    </row>
    <row r="489" spans="1:12" x14ac:dyDescent="0.25">
      <c r="A489" s="5"/>
      <c r="D489" s="5"/>
      <c r="G489" s="5"/>
      <c r="I489" s="5"/>
      <c r="L489" s="5"/>
    </row>
    <row r="490" spans="1:12" x14ac:dyDescent="0.25">
      <c r="A490" s="5"/>
      <c r="D490" s="5"/>
      <c r="G490" s="5"/>
      <c r="I490" s="5"/>
      <c r="L490" s="5"/>
    </row>
    <row r="491" spans="1:12" x14ac:dyDescent="0.25">
      <c r="A491" s="5"/>
      <c r="D491" s="5"/>
      <c r="G491" s="5"/>
      <c r="I491" s="5"/>
      <c r="L491" s="5"/>
    </row>
    <row r="492" spans="1:12" x14ac:dyDescent="0.25">
      <c r="A492" s="5"/>
      <c r="D492" s="5"/>
      <c r="G492" s="5"/>
      <c r="I492" s="5"/>
      <c r="L492" s="5"/>
    </row>
    <row r="493" spans="1:12" x14ac:dyDescent="0.25">
      <c r="A493" s="5"/>
      <c r="D493" s="5"/>
      <c r="G493" s="5"/>
      <c r="I493" s="5"/>
      <c r="L493" s="5"/>
    </row>
    <row r="494" spans="1:12" x14ac:dyDescent="0.25">
      <c r="A494" s="5"/>
      <c r="D494" s="5"/>
      <c r="G494" s="5"/>
      <c r="I494" s="5"/>
      <c r="L494" s="5"/>
    </row>
    <row r="495" spans="1:12" x14ac:dyDescent="0.25">
      <c r="A495" s="5"/>
      <c r="D495" s="5"/>
      <c r="G495" s="5"/>
      <c r="I495" s="5"/>
      <c r="L495" s="5"/>
    </row>
    <row r="496" spans="1:12" x14ac:dyDescent="0.25">
      <c r="A496" s="5"/>
      <c r="D496" s="5"/>
      <c r="G496" s="5"/>
      <c r="I496" s="5"/>
      <c r="L496" s="5"/>
    </row>
    <row r="497" spans="1:12" x14ac:dyDescent="0.25">
      <c r="A497" s="5"/>
      <c r="D497" s="5"/>
      <c r="G497" s="5"/>
      <c r="I497" s="5"/>
      <c r="L497" s="5"/>
    </row>
    <row r="498" spans="1:12" x14ac:dyDescent="0.25">
      <c r="A498" s="5"/>
      <c r="D498" s="5"/>
      <c r="G498" s="5"/>
      <c r="I498" s="5"/>
      <c r="L498" s="5"/>
    </row>
    <row r="499" spans="1:12" x14ac:dyDescent="0.25">
      <c r="A499" s="5"/>
      <c r="D499" s="5"/>
      <c r="G499" s="5"/>
      <c r="I499" s="5"/>
      <c r="L499" s="5"/>
    </row>
    <row r="500" spans="1:12" x14ac:dyDescent="0.25">
      <c r="A500" s="5"/>
      <c r="D500" s="5"/>
      <c r="G500" s="5"/>
      <c r="I500" s="5"/>
      <c r="L500" s="5"/>
    </row>
    <row r="501" spans="1:12" x14ac:dyDescent="0.25">
      <c r="A501" s="5"/>
      <c r="D501" s="5"/>
      <c r="G501" s="5"/>
      <c r="I501" s="5"/>
      <c r="L501" s="5"/>
    </row>
    <row r="502" spans="1:12" x14ac:dyDescent="0.25">
      <c r="A502" s="5"/>
      <c r="D502" s="5"/>
      <c r="G502" s="5"/>
      <c r="I502" s="5"/>
      <c r="L502" s="5"/>
    </row>
    <row r="503" spans="1:12" x14ac:dyDescent="0.25">
      <c r="A503" s="5"/>
      <c r="D503" s="5"/>
      <c r="G503" s="5"/>
      <c r="I503" s="5"/>
      <c r="L503" s="5"/>
    </row>
    <row r="504" spans="1:12" x14ac:dyDescent="0.25">
      <c r="A504" s="5"/>
      <c r="D504" s="5"/>
      <c r="G504" s="5"/>
      <c r="I504" s="5"/>
      <c r="L504" s="5"/>
    </row>
    <row r="505" spans="1:12" x14ac:dyDescent="0.25">
      <c r="A505" s="5"/>
      <c r="D505" s="5"/>
      <c r="G505" s="5"/>
      <c r="I505" s="5"/>
      <c r="L505" s="5"/>
    </row>
    <row r="506" spans="1:12" x14ac:dyDescent="0.25">
      <c r="A506" s="5"/>
      <c r="D506" s="5"/>
      <c r="G506" s="5"/>
      <c r="I506" s="5"/>
      <c r="L506" s="5"/>
    </row>
    <row r="507" spans="1:12" x14ac:dyDescent="0.25">
      <c r="A507" s="5"/>
      <c r="D507" s="5"/>
      <c r="G507" s="5"/>
      <c r="I507" s="5"/>
      <c r="L507" s="5"/>
    </row>
    <row r="508" spans="1:12" x14ac:dyDescent="0.25">
      <c r="A508" s="5"/>
      <c r="D508" s="5"/>
      <c r="G508" s="5"/>
      <c r="I508" s="5"/>
      <c r="L508" s="5"/>
    </row>
    <row r="509" spans="1:12" x14ac:dyDescent="0.25">
      <c r="A509" s="5"/>
      <c r="D509" s="5"/>
      <c r="G509" s="5"/>
      <c r="I509" s="5"/>
      <c r="L509" s="5"/>
    </row>
    <row r="510" spans="1:12" x14ac:dyDescent="0.25">
      <c r="A510" s="5"/>
      <c r="D510" s="5"/>
      <c r="G510" s="5"/>
      <c r="I510" s="5"/>
      <c r="L510" s="5"/>
    </row>
    <row r="511" spans="1:12" x14ac:dyDescent="0.25">
      <c r="A511" s="5"/>
      <c r="D511" s="5"/>
      <c r="G511" s="5"/>
      <c r="I511" s="5"/>
      <c r="L511" s="5"/>
    </row>
    <row r="512" spans="1:12" x14ac:dyDescent="0.25">
      <c r="A512" s="5"/>
      <c r="D512" s="5"/>
      <c r="G512" s="5"/>
      <c r="I512" s="5"/>
      <c r="L512" s="5"/>
    </row>
    <row r="513" spans="1:12" x14ac:dyDescent="0.25">
      <c r="A513" s="5"/>
      <c r="D513" s="5"/>
      <c r="G513" s="5"/>
      <c r="I513" s="5"/>
      <c r="L513" s="5"/>
    </row>
    <row r="514" spans="1:12" x14ac:dyDescent="0.25">
      <c r="A514" s="5"/>
      <c r="D514" s="5"/>
      <c r="G514" s="5"/>
      <c r="I514" s="5"/>
      <c r="L514" s="5"/>
    </row>
    <row r="515" spans="1:12" x14ac:dyDescent="0.25">
      <c r="A515" s="5"/>
      <c r="D515" s="5"/>
      <c r="G515" s="5"/>
      <c r="I515" s="5"/>
      <c r="L515" s="5"/>
    </row>
    <row r="516" spans="1:12" x14ac:dyDescent="0.25">
      <c r="A516" s="5"/>
      <c r="D516" s="5"/>
      <c r="G516" s="5"/>
      <c r="I516" s="5"/>
      <c r="L516" s="5"/>
    </row>
    <row r="517" spans="1:12" x14ac:dyDescent="0.25">
      <c r="A517" s="5"/>
      <c r="D517" s="5"/>
      <c r="G517" s="5"/>
      <c r="I517" s="5"/>
      <c r="L517" s="5"/>
    </row>
    <row r="518" spans="1:12" x14ac:dyDescent="0.25">
      <c r="A518" s="5"/>
      <c r="D518" s="5"/>
      <c r="G518" s="5"/>
      <c r="I518" s="5"/>
      <c r="L518" s="5"/>
    </row>
    <row r="519" spans="1:12" x14ac:dyDescent="0.25">
      <c r="A519" s="5"/>
      <c r="D519" s="5"/>
      <c r="G519" s="5"/>
      <c r="I519" s="5"/>
      <c r="L519" s="5"/>
    </row>
    <row r="520" spans="1:12" x14ac:dyDescent="0.25">
      <c r="A520" s="5"/>
      <c r="D520" s="5"/>
      <c r="G520" s="5"/>
      <c r="I520" s="5"/>
      <c r="L520" s="5"/>
    </row>
    <row r="521" spans="1:12" x14ac:dyDescent="0.25">
      <c r="A521" s="5"/>
      <c r="D521" s="5"/>
      <c r="G521" s="5"/>
      <c r="I521" s="5"/>
      <c r="L521" s="5"/>
    </row>
    <row r="522" spans="1:12" x14ac:dyDescent="0.25">
      <c r="A522" s="5"/>
      <c r="D522" s="5"/>
      <c r="G522" s="5"/>
      <c r="I522" s="5"/>
      <c r="L522" s="5"/>
    </row>
    <row r="523" spans="1:12" x14ac:dyDescent="0.25">
      <c r="A523" s="5"/>
      <c r="D523" s="5"/>
      <c r="G523" s="5"/>
      <c r="I523" s="5"/>
      <c r="L523" s="5"/>
    </row>
    <row r="524" spans="1:12" x14ac:dyDescent="0.25">
      <c r="A524" s="5"/>
      <c r="D524" s="5"/>
      <c r="G524" s="5"/>
      <c r="I524" s="5"/>
      <c r="L524" s="5"/>
    </row>
    <row r="525" spans="1:12" x14ac:dyDescent="0.25">
      <c r="A525" s="5"/>
      <c r="D525" s="5"/>
      <c r="G525" s="5"/>
      <c r="I525" s="5"/>
      <c r="L525" s="5"/>
    </row>
    <row r="526" spans="1:12" x14ac:dyDescent="0.25">
      <c r="A526" s="5"/>
      <c r="D526" s="5"/>
      <c r="G526" s="5"/>
      <c r="I526" s="5"/>
      <c r="L526" s="5"/>
    </row>
    <row r="527" spans="1:12" x14ac:dyDescent="0.25">
      <c r="A527" s="5"/>
      <c r="D527" s="5"/>
      <c r="G527" s="5"/>
      <c r="I527" s="5"/>
      <c r="L527" s="5"/>
    </row>
    <row r="528" spans="1:12" x14ac:dyDescent="0.25">
      <c r="A528" s="5"/>
      <c r="D528" s="5"/>
      <c r="G528" s="5"/>
      <c r="I528" s="5"/>
      <c r="L528" s="5"/>
    </row>
    <row r="529" spans="1:12" x14ac:dyDescent="0.25">
      <c r="A529" s="5"/>
      <c r="D529" s="5"/>
      <c r="G529" s="5"/>
      <c r="I529" s="5"/>
      <c r="L529" s="5"/>
    </row>
    <row r="530" spans="1:12" x14ac:dyDescent="0.25">
      <c r="A530" s="5"/>
      <c r="D530" s="5"/>
      <c r="G530" s="5"/>
      <c r="I530" s="5"/>
      <c r="L530" s="5"/>
    </row>
    <row r="531" spans="1:12" x14ac:dyDescent="0.25">
      <c r="A531" s="5"/>
      <c r="D531" s="5"/>
      <c r="G531" s="5"/>
      <c r="I531" s="5"/>
      <c r="L531" s="5"/>
    </row>
    <row r="532" spans="1:12" x14ac:dyDescent="0.25">
      <c r="A532" s="5"/>
      <c r="D532" s="5"/>
      <c r="G532" s="5"/>
      <c r="I532" s="5"/>
      <c r="L532" s="5"/>
    </row>
    <row r="533" spans="1:12" x14ac:dyDescent="0.25">
      <c r="A533" s="5"/>
      <c r="D533" s="5"/>
      <c r="G533" s="5"/>
      <c r="I533" s="5"/>
      <c r="L533" s="5"/>
    </row>
    <row r="534" spans="1:12" x14ac:dyDescent="0.25">
      <c r="A534" s="5"/>
      <c r="D534" s="5"/>
      <c r="G534" s="5"/>
      <c r="I534" s="5"/>
      <c r="L534" s="5"/>
    </row>
    <row r="535" spans="1:12" x14ac:dyDescent="0.25">
      <c r="A535" s="5"/>
      <c r="D535" s="5"/>
      <c r="G535" s="5"/>
      <c r="I535" s="5"/>
      <c r="L535" s="5"/>
    </row>
    <row r="536" spans="1:12" x14ac:dyDescent="0.25">
      <c r="A536" s="5"/>
      <c r="D536" s="5"/>
      <c r="G536" s="5"/>
      <c r="I536" s="5"/>
      <c r="L536" s="5"/>
    </row>
    <row r="537" spans="1:12" x14ac:dyDescent="0.25">
      <c r="A537" s="5"/>
      <c r="D537" s="5"/>
      <c r="G537" s="5"/>
      <c r="I537" s="5"/>
      <c r="L537" s="5"/>
    </row>
    <row r="538" spans="1:12" x14ac:dyDescent="0.25">
      <c r="A538" s="5"/>
      <c r="D538" s="5"/>
      <c r="G538" s="5"/>
      <c r="I538" s="5"/>
      <c r="L538" s="5"/>
    </row>
    <row r="539" spans="1:12" x14ac:dyDescent="0.25">
      <c r="A539" s="5"/>
      <c r="D539" s="5"/>
      <c r="G539" s="5"/>
      <c r="I539" s="5"/>
      <c r="L539" s="5"/>
    </row>
    <row r="540" spans="1:12" x14ac:dyDescent="0.25">
      <c r="A540" s="5"/>
      <c r="D540" s="5"/>
      <c r="G540" s="5"/>
      <c r="I540" s="5"/>
      <c r="L540" s="5"/>
    </row>
    <row r="541" spans="1:12" x14ac:dyDescent="0.25">
      <c r="A541" s="5"/>
      <c r="D541" s="5"/>
      <c r="G541" s="5"/>
      <c r="I541" s="5"/>
      <c r="L541" s="5"/>
    </row>
    <row r="542" spans="1:12" x14ac:dyDescent="0.25">
      <c r="A542" s="5"/>
      <c r="D542" s="5"/>
      <c r="G542" s="5"/>
      <c r="I542" s="5"/>
      <c r="L542" s="5"/>
    </row>
    <row r="543" spans="1:12" x14ac:dyDescent="0.25">
      <c r="A543" s="5"/>
      <c r="D543" s="5"/>
      <c r="G543" s="5"/>
      <c r="I543" s="5"/>
      <c r="L543" s="5"/>
    </row>
    <row r="544" spans="1:12" x14ac:dyDescent="0.25">
      <c r="A544" s="5"/>
      <c r="D544" s="5"/>
      <c r="G544" s="5"/>
      <c r="I544" s="5"/>
      <c r="L544" s="5"/>
    </row>
    <row r="545" spans="1:12" x14ac:dyDescent="0.25">
      <c r="A545" s="5"/>
      <c r="D545" s="5"/>
      <c r="G545" s="5"/>
      <c r="I545" s="5"/>
      <c r="L545" s="5"/>
    </row>
    <row r="546" spans="1:12" x14ac:dyDescent="0.25">
      <c r="A546" s="5"/>
      <c r="D546" s="5"/>
      <c r="G546" s="5"/>
      <c r="I546" s="5"/>
      <c r="L546" s="5"/>
    </row>
    <row r="547" spans="1:12" x14ac:dyDescent="0.25">
      <c r="A547" s="5"/>
      <c r="D547" s="5"/>
      <c r="G547" s="5"/>
      <c r="I547" s="5"/>
      <c r="L547" s="5"/>
    </row>
    <row r="548" spans="1:12" x14ac:dyDescent="0.25">
      <c r="A548" s="5"/>
      <c r="D548" s="5"/>
      <c r="G548" s="5"/>
      <c r="I548" s="5"/>
      <c r="L548" s="5"/>
    </row>
    <row r="549" spans="1:12" x14ac:dyDescent="0.25">
      <c r="A549" s="5"/>
      <c r="D549" s="5"/>
      <c r="G549" s="5"/>
      <c r="I549" s="5"/>
      <c r="L549" s="5"/>
    </row>
    <row r="550" spans="1:12" x14ac:dyDescent="0.25">
      <c r="A550" s="5"/>
      <c r="D550" s="5"/>
      <c r="G550" s="5"/>
      <c r="I550" s="5"/>
      <c r="L550" s="5"/>
    </row>
    <row r="551" spans="1:12" x14ac:dyDescent="0.25">
      <c r="A551" s="5"/>
      <c r="D551" s="5"/>
      <c r="G551" s="5"/>
      <c r="I551" s="5"/>
      <c r="L551" s="5"/>
    </row>
    <row r="552" spans="1:12" x14ac:dyDescent="0.25">
      <c r="A552" s="5"/>
      <c r="D552" s="5"/>
      <c r="G552" s="5"/>
      <c r="I552" s="5"/>
      <c r="L552" s="5"/>
    </row>
    <row r="553" spans="1:12" x14ac:dyDescent="0.25">
      <c r="A553" s="5"/>
      <c r="D553" s="5"/>
      <c r="G553" s="5"/>
      <c r="I553" s="5"/>
      <c r="L553" s="5"/>
    </row>
    <row r="554" spans="1:12" x14ac:dyDescent="0.25">
      <c r="A554" s="5"/>
      <c r="D554" s="5"/>
      <c r="G554" s="5"/>
      <c r="I554" s="5"/>
      <c r="L554" s="5"/>
    </row>
    <row r="555" spans="1:12" x14ac:dyDescent="0.25">
      <c r="A555" s="5"/>
      <c r="D555" s="5"/>
      <c r="G555" s="5"/>
      <c r="I555" s="5"/>
      <c r="L555" s="5"/>
    </row>
    <row r="556" spans="1:12" x14ac:dyDescent="0.25">
      <c r="A556" s="5"/>
      <c r="D556" s="5"/>
      <c r="G556" s="5"/>
      <c r="I556" s="5"/>
      <c r="L556" s="5"/>
    </row>
    <row r="557" spans="1:12" x14ac:dyDescent="0.25">
      <c r="A557" s="5"/>
      <c r="D557" s="5"/>
      <c r="G557" s="5"/>
      <c r="I557" s="5"/>
      <c r="L557" s="5"/>
    </row>
    <row r="558" spans="1:12" x14ac:dyDescent="0.25">
      <c r="A558" s="5"/>
      <c r="D558" s="5"/>
      <c r="G558" s="5"/>
      <c r="I558" s="5"/>
      <c r="L558" s="5"/>
    </row>
    <row r="559" spans="1:12" x14ac:dyDescent="0.25">
      <c r="A559" s="5"/>
      <c r="D559" s="5"/>
      <c r="G559" s="5"/>
      <c r="I559" s="5"/>
      <c r="L559" s="5"/>
    </row>
    <row r="560" spans="1:12" x14ac:dyDescent="0.25">
      <c r="A560" s="5"/>
      <c r="D560" s="5"/>
      <c r="G560" s="5"/>
      <c r="I560" s="5"/>
      <c r="L560" s="5"/>
    </row>
    <row r="561" spans="1:12" x14ac:dyDescent="0.25">
      <c r="A561" s="5"/>
      <c r="D561" s="5"/>
      <c r="G561" s="5"/>
      <c r="I561" s="5"/>
      <c r="L561" s="5"/>
    </row>
    <row r="562" spans="1:12" x14ac:dyDescent="0.25">
      <c r="A562" s="5"/>
      <c r="D562" s="5"/>
      <c r="G562" s="5"/>
      <c r="I562" s="5"/>
      <c r="L562" s="5"/>
    </row>
    <row r="563" spans="1:12" x14ac:dyDescent="0.25">
      <c r="A563" s="5"/>
      <c r="D563" s="5"/>
      <c r="G563" s="5"/>
      <c r="I563" s="5"/>
      <c r="L563" s="5"/>
    </row>
    <row r="564" spans="1:12" x14ac:dyDescent="0.25">
      <c r="A564" s="5"/>
      <c r="D564" s="5"/>
      <c r="G564" s="5"/>
      <c r="I564" s="5"/>
      <c r="L564" s="5"/>
    </row>
    <row r="565" spans="1:12" x14ac:dyDescent="0.25">
      <c r="A565" s="5"/>
      <c r="D565" s="5"/>
      <c r="G565" s="5"/>
      <c r="I565" s="5"/>
      <c r="L565" s="5"/>
    </row>
    <row r="566" spans="1:12" x14ac:dyDescent="0.25">
      <c r="A566" s="5"/>
      <c r="D566" s="5"/>
      <c r="G566" s="5"/>
      <c r="I566" s="5"/>
      <c r="L566" s="5"/>
    </row>
    <row r="567" spans="1:12" x14ac:dyDescent="0.25">
      <c r="A567" s="5"/>
      <c r="D567" s="5"/>
      <c r="G567" s="5"/>
      <c r="I567" s="5"/>
      <c r="L567" s="5"/>
    </row>
    <row r="568" spans="1:12" x14ac:dyDescent="0.25">
      <c r="A568" s="5"/>
      <c r="D568" s="5"/>
      <c r="G568" s="5"/>
      <c r="I568" s="5"/>
      <c r="L568" s="5"/>
    </row>
    <row r="569" spans="1:12" x14ac:dyDescent="0.25">
      <c r="A569" s="5"/>
      <c r="D569" s="5"/>
      <c r="G569" s="5"/>
      <c r="I569" s="5"/>
      <c r="L569" s="5"/>
    </row>
    <row r="570" spans="1:12" x14ac:dyDescent="0.25">
      <c r="A570" s="5"/>
      <c r="D570" s="5"/>
      <c r="G570" s="5"/>
      <c r="I570" s="5"/>
      <c r="L570" s="5"/>
    </row>
    <row r="571" spans="1:12" x14ac:dyDescent="0.25">
      <c r="A571" s="5"/>
      <c r="D571" s="5"/>
      <c r="G571" s="5"/>
      <c r="I571" s="5"/>
      <c r="L571" s="5"/>
    </row>
    <row r="572" spans="1:12" x14ac:dyDescent="0.25">
      <c r="A572" s="5"/>
      <c r="D572" s="5"/>
      <c r="G572" s="5"/>
      <c r="I572" s="5"/>
      <c r="L572" s="5"/>
    </row>
    <row r="573" spans="1:12" x14ac:dyDescent="0.25">
      <c r="A573" s="5"/>
      <c r="D573" s="5"/>
      <c r="G573" s="5"/>
      <c r="I573" s="5"/>
      <c r="L573" s="5"/>
    </row>
    <row r="574" spans="1:12" x14ac:dyDescent="0.25">
      <c r="A574" s="5"/>
      <c r="D574" s="5"/>
      <c r="G574" s="5"/>
      <c r="I574" s="5"/>
      <c r="L574" s="5"/>
    </row>
    <row r="575" spans="1:12" x14ac:dyDescent="0.25">
      <c r="A575" s="5"/>
      <c r="D575" s="5"/>
      <c r="G575" s="5"/>
      <c r="I575" s="5"/>
      <c r="L575" s="5"/>
    </row>
    <row r="576" spans="1:12" x14ac:dyDescent="0.25">
      <c r="A576" s="5"/>
      <c r="D576" s="5"/>
      <c r="G576" s="5"/>
      <c r="I576" s="5"/>
      <c r="L576" s="5"/>
    </row>
    <row r="577" spans="1:12" x14ac:dyDescent="0.25">
      <c r="A577" s="5"/>
      <c r="D577" s="5"/>
      <c r="G577" s="5"/>
      <c r="I577" s="5"/>
      <c r="L577" s="5"/>
    </row>
    <row r="578" spans="1:12" x14ac:dyDescent="0.25">
      <c r="A578" s="5"/>
      <c r="D578" s="5"/>
      <c r="G578" s="5"/>
      <c r="I578" s="5"/>
      <c r="L578" s="5"/>
    </row>
    <row r="579" spans="1:12" x14ac:dyDescent="0.25">
      <c r="A579" s="5"/>
      <c r="D579" s="5"/>
      <c r="G579" s="5"/>
      <c r="I579" s="5"/>
      <c r="L579" s="5"/>
    </row>
    <row r="580" spans="1:12" x14ac:dyDescent="0.25">
      <c r="A580" s="5"/>
      <c r="D580" s="5"/>
      <c r="G580" s="5"/>
      <c r="I580" s="5"/>
      <c r="L580" s="5"/>
    </row>
    <row r="581" spans="1:12" x14ac:dyDescent="0.25">
      <c r="A581" s="5"/>
      <c r="D581" s="5"/>
      <c r="G581" s="5"/>
      <c r="I581" s="5"/>
      <c r="L581" s="5"/>
    </row>
    <row r="582" spans="1:12" x14ac:dyDescent="0.25">
      <c r="A582" s="5"/>
      <c r="D582" s="5"/>
      <c r="G582" s="5"/>
      <c r="I582" s="5"/>
      <c r="L582" s="5"/>
    </row>
    <row r="583" spans="1:12" x14ac:dyDescent="0.25">
      <c r="A583" s="5"/>
      <c r="D583" s="5"/>
      <c r="G583" s="5"/>
      <c r="I583" s="5"/>
      <c r="L583" s="5"/>
    </row>
    <row r="584" spans="1:12" x14ac:dyDescent="0.25">
      <c r="A584" s="5"/>
      <c r="D584" s="5"/>
      <c r="G584" s="5"/>
      <c r="I584" s="5"/>
      <c r="L584" s="5"/>
    </row>
    <row r="585" spans="1:12" x14ac:dyDescent="0.25">
      <c r="A585" s="5"/>
      <c r="D585" s="5"/>
      <c r="G585" s="5"/>
      <c r="I585" s="5"/>
      <c r="L585" s="5"/>
    </row>
    <row r="586" spans="1:12" x14ac:dyDescent="0.25">
      <c r="A586" s="5"/>
      <c r="D586" s="5"/>
      <c r="G586" s="5"/>
      <c r="I586" s="5"/>
      <c r="L586" s="5"/>
    </row>
    <row r="587" spans="1:12" x14ac:dyDescent="0.25">
      <c r="A587" s="5"/>
      <c r="D587" s="5"/>
      <c r="G587" s="5"/>
      <c r="I587" s="5"/>
      <c r="L587" s="5"/>
    </row>
    <row r="588" spans="1:12" x14ac:dyDescent="0.25">
      <c r="A588" s="5"/>
      <c r="D588" s="5"/>
      <c r="G588" s="5"/>
      <c r="I588" s="5"/>
      <c r="L588" s="5"/>
    </row>
    <row r="589" spans="1:12" x14ac:dyDescent="0.25">
      <c r="A589" s="5"/>
      <c r="D589" s="5"/>
      <c r="G589" s="5"/>
      <c r="I589" s="5"/>
      <c r="L589" s="5"/>
    </row>
    <row r="590" spans="1:12" x14ac:dyDescent="0.25">
      <c r="A590" s="5"/>
      <c r="D590" s="5"/>
      <c r="G590" s="5"/>
      <c r="I590" s="5"/>
      <c r="L590" s="5"/>
    </row>
    <row r="591" spans="1:12" x14ac:dyDescent="0.25">
      <c r="A591" s="5"/>
      <c r="D591" s="5"/>
      <c r="G591" s="5"/>
      <c r="I591" s="5"/>
      <c r="L591" s="5"/>
    </row>
    <row r="592" spans="1:12" x14ac:dyDescent="0.25">
      <c r="A592" s="5"/>
      <c r="D592" s="5"/>
      <c r="G592" s="5"/>
      <c r="I592" s="5"/>
      <c r="L592" s="5"/>
    </row>
    <row r="593" spans="1:12" x14ac:dyDescent="0.25">
      <c r="A593" s="5"/>
      <c r="D593" s="5"/>
      <c r="G593" s="5"/>
      <c r="I593" s="5"/>
      <c r="L593" s="5"/>
    </row>
    <row r="594" spans="1:12" x14ac:dyDescent="0.25">
      <c r="A594" s="5"/>
      <c r="D594" s="5"/>
      <c r="G594" s="5"/>
      <c r="I594" s="5"/>
      <c r="L594" s="5"/>
    </row>
    <row r="595" spans="1:12" x14ac:dyDescent="0.25">
      <c r="A595" s="5"/>
      <c r="D595" s="5"/>
      <c r="G595" s="5"/>
      <c r="I595" s="5"/>
      <c r="L595" s="5"/>
    </row>
    <row r="596" spans="1:12" x14ac:dyDescent="0.25">
      <c r="A596" s="5"/>
      <c r="D596" s="5"/>
      <c r="G596" s="5"/>
      <c r="I596" s="5"/>
      <c r="L596" s="5"/>
    </row>
    <row r="597" spans="1:12" x14ac:dyDescent="0.25">
      <c r="A597" s="5"/>
      <c r="D597" s="5"/>
      <c r="G597" s="5"/>
      <c r="I597" s="5"/>
      <c r="L597" s="5"/>
    </row>
    <row r="598" spans="1:12" x14ac:dyDescent="0.25">
      <c r="A598" s="5"/>
      <c r="D598" s="5"/>
      <c r="G598" s="5"/>
      <c r="I598" s="5"/>
      <c r="L598" s="5"/>
    </row>
    <row r="599" spans="1:12" x14ac:dyDescent="0.25">
      <c r="A599" s="5"/>
      <c r="D599" s="5"/>
      <c r="G599" s="5"/>
      <c r="I599" s="5"/>
      <c r="L599" s="5"/>
    </row>
    <row r="600" spans="1:12" x14ac:dyDescent="0.25">
      <c r="A600" s="5"/>
      <c r="D600" s="5"/>
      <c r="G600" s="5"/>
      <c r="I600" s="5"/>
      <c r="L600" s="5"/>
    </row>
    <row r="601" spans="1:12" x14ac:dyDescent="0.25">
      <c r="A601" s="5"/>
      <c r="D601" s="5"/>
      <c r="G601" s="5"/>
      <c r="I601" s="5"/>
      <c r="L601" s="5"/>
    </row>
    <row r="602" spans="1:12" x14ac:dyDescent="0.25">
      <c r="A602" s="5"/>
      <c r="D602" s="5"/>
      <c r="G602" s="5"/>
      <c r="I602" s="5"/>
      <c r="L602" s="5"/>
    </row>
    <row r="603" spans="1:12" x14ac:dyDescent="0.25">
      <c r="A603" s="5"/>
      <c r="D603" s="5"/>
      <c r="G603" s="5"/>
      <c r="I603" s="5"/>
      <c r="L603" s="5"/>
    </row>
    <row r="604" spans="1:12" x14ac:dyDescent="0.25">
      <c r="A604" s="5"/>
      <c r="D604" s="5"/>
      <c r="G604" s="5"/>
      <c r="I604" s="5"/>
      <c r="L604" s="5"/>
    </row>
    <row r="605" spans="1:12" x14ac:dyDescent="0.25">
      <c r="A605" s="5"/>
      <c r="D605" s="5"/>
      <c r="G605" s="5"/>
      <c r="I605" s="5"/>
      <c r="L605" s="5"/>
    </row>
    <row r="606" spans="1:12" x14ac:dyDescent="0.25">
      <c r="A606" s="5"/>
      <c r="D606" s="5"/>
      <c r="G606" s="5"/>
      <c r="I606" s="5"/>
      <c r="L606" s="5"/>
    </row>
    <row r="607" spans="1:12" x14ac:dyDescent="0.25">
      <c r="A607" s="5"/>
      <c r="D607" s="5"/>
      <c r="G607" s="5"/>
      <c r="I607" s="5"/>
      <c r="L607" s="5"/>
    </row>
    <row r="608" spans="1:12" x14ac:dyDescent="0.25">
      <c r="A608" s="5"/>
      <c r="D608" s="5"/>
      <c r="G608" s="5"/>
      <c r="I608" s="5"/>
      <c r="L608" s="5"/>
    </row>
    <row r="609" spans="1:12" x14ac:dyDescent="0.25">
      <c r="A609" s="5"/>
      <c r="D609" s="5"/>
      <c r="G609" s="5"/>
      <c r="I609" s="5"/>
      <c r="L609" s="5"/>
    </row>
    <row r="610" spans="1:12" x14ac:dyDescent="0.25">
      <c r="A610" s="5"/>
      <c r="D610" s="5"/>
      <c r="G610" s="5"/>
      <c r="I610" s="5"/>
      <c r="L610" s="5"/>
    </row>
    <row r="611" spans="1:12" x14ac:dyDescent="0.25">
      <c r="A611" s="5"/>
      <c r="D611" s="5"/>
      <c r="G611" s="5"/>
      <c r="I611" s="5"/>
      <c r="L611" s="5"/>
    </row>
    <row r="612" spans="1:12" x14ac:dyDescent="0.25">
      <c r="A612" s="5"/>
      <c r="D612" s="5"/>
      <c r="G612" s="5"/>
      <c r="I612" s="5"/>
      <c r="L612" s="5"/>
    </row>
    <row r="613" spans="1:12" x14ac:dyDescent="0.25">
      <c r="A613" s="5"/>
      <c r="D613" s="5"/>
      <c r="G613" s="5"/>
      <c r="I613" s="5"/>
      <c r="L613" s="5"/>
    </row>
    <row r="614" spans="1:12" x14ac:dyDescent="0.25">
      <c r="A614" s="5"/>
      <c r="D614" s="5"/>
      <c r="G614" s="5"/>
      <c r="I614" s="5"/>
      <c r="L614" s="5"/>
    </row>
    <row r="615" spans="1:12" x14ac:dyDescent="0.25">
      <c r="A615" s="5"/>
      <c r="D615" s="5"/>
      <c r="G615" s="5"/>
      <c r="I615" s="5"/>
      <c r="L615" s="5"/>
    </row>
    <row r="616" spans="1:12" x14ac:dyDescent="0.25">
      <c r="A616" s="5"/>
      <c r="D616" s="5"/>
      <c r="G616" s="5"/>
      <c r="I616" s="5"/>
      <c r="L616" s="5"/>
    </row>
    <row r="617" spans="1:12" x14ac:dyDescent="0.25">
      <c r="A617" s="5"/>
      <c r="D617" s="5"/>
      <c r="G617" s="5"/>
      <c r="I617" s="5"/>
      <c r="L617" s="5"/>
    </row>
    <row r="618" spans="1:12" x14ac:dyDescent="0.25">
      <c r="A618" s="5"/>
      <c r="D618" s="5"/>
      <c r="G618" s="5"/>
      <c r="I618" s="5"/>
      <c r="L618" s="5"/>
    </row>
    <row r="619" spans="1:12" x14ac:dyDescent="0.25">
      <c r="A619" s="5"/>
      <c r="D619" s="5"/>
      <c r="G619" s="5"/>
      <c r="I619" s="5"/>
      <c r="L619" s="5"/>
    </row>
    <row r="620" spans="1:12" x14ac:dyDescent="0.25">
      <c r="A620" s="5"/>
      <c r="D620" s="5"/>
      <c r="G620" s="5"/>
      <c r="I620" s="5"/>
      <c r="L620" s="5"/>
    </row>
    <row r="621" spans="1:12" x14ac:dyDescent="0.25">
      <c r="A621" s="5"/>
      <c r="D621" s="5"/>
      <c r="G621" s="5"/>
      <c r="I621" s="5"/>
      <c r="L621" s="5"/>
    </row>
    <row r="622" spans="1:12" x14ac:dyDescent="0.25">
      <c r="A622" s="5"/>
      <c r="D622" s="5"/>
      <c r="G622" s="5"/>
      <c r="I622" s="5"/>
      <c r="L622" s="5"/>
    </row>
    <row r="623" spans="1:12" x14ac:dyDescent="0.25">
      <c r="A623" s="5"/>
      <c r="D623" s="5"/>
      <c r="G623" s="5"/>
      <c r="I623" s="5"/>
      <c r="L623" s="5"/>
    </row>
    <row r="624" spans="1:12" x14ac:dyDescent="0.25">
      <c r="A624" s="5"/>
      <c r="D624" s="5"/>
      <c r="G624" s="5"/>
      <c r="I624" s="5"/>
      <c r="L624" s="5"/>
    </row>
    <row r="625" spans="1:12" x14ac:dyDescent="0.25">
      <c r="A625" s="5"/>
      <c r="D625" s="5"/>
      <c r="G625" s="5"/>
      <c r="I625" s="5"/>
      <c r="L625" s="5"/>
    </row>
    <row r="626" spans="1:12" x14ac:dyDescent="0.25">
      <c r="A626" s="5"/>
      <c r="D626" s="5"/>
      <c r="G626" s="5"/>
      <c r="I626" s="5"/>
      <c r="L626" s="5"/>
    </row>
    <row r="627" spans="1:12" x14ac:dyDescent="0.25">
      <c r="A627" s="5"/>
      <c r="D627" s="5"/>
      <c r="G627" s="5"/>
      <c r="I627" s="5"/>
      <c r="L627" s="5"/>
    </row>
    <row r="628" spans="1:12" x14ac:dyDescent="0.25">
      <c r="A628" s="5"/>
      <c r="D628" s="5"/>
      <c r="G628" s="5"/>
      <c r="I628" s="5"/>
      <c r="L628" s="5"/>
    </row>
    <row r="629" spans="1:12" x14ac:dyDescent="0.25">
      <c r="A629" s="5"/>
      <c r="D629" s="5"/>
      <c r="G629" s="5"/>
      <c r="I629" s="5"/>
      <c r="L629" s="5"/>
    </row>
    <row r="630" spans="1:12" x14ac:dyDescent="0.25">
      <c r="A630" s="5"/>
      <c r="D630" s="5"/>
      <c r="G630" s="5"/>
      <c r="I630" s="5"/>
      <c r="L630" s="5"/>
    </row>
    <row r="631" spans="1:12" x14ac:dyDescent="0.25">
      <c r="A631" s="5"/>
      <c r="D631" s="5"/>
      <c r="G631" s="5"/>
      <c r="I631" s="5"/>
      <c r="L631" s="5"/>
    </row>
    <row r="632" spans="1:12" x14ac:dyDescent="0.25">
      <c r="A632" s="5"/>
      <c r="D632" s="5"/>
      <c r="G632" s="5"/>
      <c r="I632" s="5"/>
      <c r="L632" s="5"/>
    </row>
    <row r="633" spans="1:12" x14ac:dyDescent="0.25">
      <c r="A633" s="5"/>
      <c r="D633" s="5"/>
      <c r="G633" s="5"/>
      <c r="I633" s="5"/>
      <c r="L633" s="5"/>
    </row>
    <row r="634" spans="1:12" x14ac:dyDescent="0.25">
      <c r="A634" s="5"/>
      <c r="D634" s="5"/>
      <c r="G634" s="5"/>
      <c r="I634" s="5"/>
      <c r="L634" s="5"/>
    </row>
    <row r="635" spans="1:12" x14ac:dyDescent="0.25">
      <c r="A635" s="5"/>
      <c r="D635" s="5"/>
      <c r="G635" s="5"/>
      <c r="I635" s="5"/>
      <c r="L635" s="5"/>
    </row>
    <row r="636" spans="1:12" x14ac:dyDescent="0.25">
      <c r="A636" s="5"/>
      <c r="D636" s="5"/>
      <c r="G636" s="5"/>
      <c r="I636" s="5"/>
      <c r="L636" s="5"/>
    </row>
    <row r="637" spans="1:12" x14ac:dyDescent="0.25">
      <c r="A637" s="5"/>
      <c r="D637" s="5"/>
      <c r="G637" s="5"/>
      <c r="I637" s="5"/>
      <c r="L637" s="5"/>
    </row>
    <row r="638" spans="1:12" x14ac:dyDescent="0.25">
      <c r="A638" s="5"/>
      <c r="D638" s="5"/>
      <c r="G638" s="5"/>
      <c r="I638" s="5"/>
      <c r="L638" s="5"/>
    </row>
    <row r="639" spans="1:12" x14ac:dyDescent="0.25">
      <c r="A639" s="5"/>
      <c r="D639" s="5"/>
      <c r="G639" s="5"/>
      <c r="I639" s="5"/>
      <c r="L639" s="5"/>
    </row>
    <row r="640" spans="1:12" x14ac:dyDescent="0.25">
      <c r="A640" s="5"/>
      <c r="D640" s="5"/>
      <c r="G640" s="5"/>
      <c r="I640" s="5"/>
      <c r="L640" s="5"/>
    </row>
    <row r="641" spans="1:12" x14ac:dyDescent="0.25">
      <c r="A641" s="5"/>
      <c r="D641" s="5"/>
      <c r="G641" s="5"/>
      <c r="I641" s="5"/>
      <c r="L641" s="5"/>
    </row>
    <row r="642" spans="1:12" x14ac:dyDescent="0.25">
      <c r="A642" s="5"/>
      <c r="D642" s="5"/>
      <c r="G642" s="5"/>
      <c r="I642" s="5"/>
      <c r="L642" s="5"/>
    </row>
    <row r="643" spans="1:12" x14ac:dyDescent="0.25">
      <c r="A643" s="5"/>
      <c r="D643" s="5"/>
      <c r="G643" s="5"/>
      <c r="I643" s="5"/>
      <c r="L643" s="5"/>
    </row>
    <row r="644" spans="1:12" x14ac:dyDescent="0.25">
      <c r="A644" s="5"/>
      <c r="D644" s="5"/>
      <c r="G644" s="5"/>
      <c r="I644" s="5"/>
      <c r="L644" s="5"/>
    </row>
    <row r="645" spans="1:12" x14ac:dyDescent="0.25">
      <c r="A645" s="5"/>
      <c r="D645" s="5"/>
      <c r="G645" s="5"/>
      <c r="I645" s="5"/>
      <c r="L645" s="5"/>
    </row>
    <row r="646" spans="1:12" x14ac:dyDescent="0.25">
      <c r="A646" s="5"/>
      <c r="D646" s="5"/>
      <c r="G646" s="5"/>
      <c r="I646" s="5"/>
      <c r="L646" s="5"/>
    </row>
    <row r="647" spans="1:12" x14ac:dyDescent="0.25">
      <c r="A647" s="5"/>
      <c r="D647" s="5"/>
      <c r="G647" s="5"/>
      <c r="I647" s="5"/>
      <c r="L647" s="5"/>
    </row>
    <row r="648" spans="1:12" x14ac:dyDescent="0.25">
      <c r="A648" s="5"/>
      <c r="D648" s="5"/>
      <c r="G648" s="5"/>
      <c r="I648" s="5"/>
      <c r="L648" s="5"/>
    </row>
    <row r="649" spans="1:12" x14ac:dyDescent="0.25">
      <c r="A649" s="5"/>
      <c r="D649" s="5"/>
      <c r="G649" s="5"/>
      <c r="I649" s="5"/>
      <c r="L649" s="5"/>
    </row>
    <row r="650" spans="1:12" x14ac:dyDescent="0.25">
      <c r="A650" s="5"/>
      <c r="D650" s="5"/>
      <c r="G650" s="5"/>
      <c r="I650" s="5"/>
      <c r="L650" s="5"/>
    </row>
    <row r="651" spans="1:12" x14ac:dyDescent="0.25">
      <c r="A651" s="5"/>
      <c r="D651" s="5"/>
      <c r="G651" s="5"/>
      <c r="I651" s="5"/>
      <c r="L651" s="5"/>
    </row>
    <row r="652" spans="1:12" x14ac:dyDescent="0.25">
      <c r="A652" s="5"/>
      <c r="D652" s="5"/>
      <c r="G652" s="5"/>
      <c r="I652" s="5"/>
      <c r="L652" s="5"/>
    </row>
    <row r="653" spans="1:12" x14ac:dyDescent="0.25">
      <c r="A653" s="5"/>
      <c r="D653" s="5"/>
      <c r="G653" s="5"/>
      <c r="I653" s="5"/>
      <c r="L653" s="5"/>
    </row>
    <row r="654" spans="1:12" x14ac:dyDescent="0.25">
      <c r="A654" s="5"/>
      <c r="D654" s="5"/>
      <c r="G654" s="5"/>
      <c r="I654" s="5"/>
      <c r="L654" s="5"/>
    </row>
    <row r="655" spans="1:12" x14ac:dyDescent="0.25">
      <c r="A655" s="5"/>
      <c r="D655" s="5"/>
      <c r="G655" s="5"/>
      <c r="I655" s="5"/>
      <c r="L655" s="5"/>
    </row>
    <row r="656" spans="1:12" x14ac:dyDescent="0.25">
      <c r="A656" s="5"/>
      <c r="D656" s="5"/>
      <c r="G656" s="5"/>
      <c r="I656" s="5"/>
      <c r="L656" s="5"/>
    </row>
    <row r="657" spans="1:12" x14ac:dyDescent="0.25">
      <c r="A657" s="5"/>
      <c r="D657" s="5"/>
      <c r="G657" s="5"/>
      <c r="I657" s="5"/>
      <c r="L657" s="5"/>
    </row>
    <row r="658" spans="1:12" x14ac:dyDescent="0.25">
      <c r="A658" s="5"/>
      <c r="D658" s="5"/>
      <c r="G658" s="5"/>
      <c r="I658" s="5"/>
      <c r="L658" s="5"/>
    </row>
    <row r="659" spans="1:12" x14ac:dyDescent="0.25">
      <c r="A659" s="5"/>
      <c r="D659" s="5"/>
      <c r="G659" s="5"/>
      <c r="I659" s="5"/>
      <c r="L659" s="5"/>
    </row>
    <row r="660" spans="1:12" x14ac:dyDescent="0.25">
      <c r="A660" s="5"/>
      <c r="D660" s="5"/>
      <c r="G660" s="5"/>
      <c r="I660" s="5"/>
      <c r="L660" s="5"/>
    </row>
    <row r="661" spans="1:12" x14ac:dyDescent="0.25">
      <c r="A661" s="5"/>
      <c r="D661" s="5"/>
      <c r="G661" s="5"/>
      <c r="I661" s="5"/>
      <c r="L661" s="5"/>
    </row>
    <row r="662" spans="1:12" x14ac:dyDescent="0.25">
      <c r="A662" s="5"/>
      <c r="D662" s="5"/>
      <c r="G662" s="5"/>
      <c r="I662" s="5"/>
      <c r="L662" s="5"/>
    </row>
    <row r="663" spans="1:12" x14ac:dyDescent="0.25">
      <c r="A663" s="5"/>
      <c r="D663" s="5"/>
      <c r="G663" s="5"/>
      <c r="I663" s="5"/>
      <c r="L663" s="5"/>
    </row>
    <row r="664" spans="1:12" x14ac:dyDescent="0.25">
      <c r="A664" s="5"/>
      <c r="D664" s="5"/>
      <c r="G664" s="5"/>
      <c r="I664" s="5"/>
      <c r="L664" s="5"/>
    </row>
    <row r="665" spans="1:12" x14ac:dyDescent="0.25">
      <c r="A665" s="5"/>
      <c r="D665" s="5"/>
      <c r="G665" s="5"/>
      <c r="I665" s="5"/>
      <c r="L665" s="5"/>
    </row>
    <row r="666" spans="1:12" x14ac:dyDescent="0.25">
      <c r="A666" s="5"/>
      <c r="D666" s="5"/>
      <c r="G666" s="5"/>
      <c r="I666" s="5"/>
      <c r="L666" s="5"/>
    </row>
    <row r="667" spans="1:12" x14ac:dyDescent="0.25">
      <c r="A667" s="5"/>
      <c r="D667" s="5"/>
      <c r="G667" s="5"/>
      <c r="I667" s="5"/>
      <c r="L667" s="5"/>
    </row>
    <row r="668" spans="1:12" x14ac:dyDescent="0.25">
      <c r="A668" s="5"/>
      <c r="D668" s="5"/>
      <c r="G668" s="5"/>
      <c r="I668" s="5"/>
      <c r="L668" s="5"/>
    </row>
    <row r="669" spans="1:12" x14ac:dyDescent="0.25">
      <c r="A669" s="5"/>
      <c r="D669" s="5"/>
      <c r="G669" s="5"/>
      <c r="I669" s="5"/>
      <c r="L669" s="5"/>
    </row>
    <row r="670" spans="1:12" x14ac:dyDescent="0.25">
      <c r="A670" s="5"/>
      <c r="D670" s="5"/>
      <c r="G670" s="5"/>
      <c r="I670" s="5"/>
      <c r="L670" s="5"/>
    </row>
    <row r="671" spans="1:12" x14ac:dyDescent="0.25">
      <c r="A671" s="5"/>
      <c r="D671" s="5"/>
      <c r="G671" s="5"/>
      <c r="I671" s="5"/>
      <c r="L671" s="5"/>
    </row>
    <row r="672" spans="1:12" x14ac:dyDescent="0.25">
      <c r="A672" s="5"/>
      <c r="D672" s="5"/>
      <c r="G672" s="5"/>
      <c r="I672" s="5"/>
      <c r="L672" s="5"/>
    </row>
    <row r="673" spans="1:12" x14ac:dyDescent="0.25">
      <c r="A673" s="5"/>
      <c r="D673" s="5"/>
      <c r="G673" s="5"/>
      <c r="I673" s="5"/>
      <c r="L673" s="5"/>
    </row>
    <row r="674" spans="1:12" x14ac:dyDescent="0.25">
      <c r="A674" s="5"/>
      <c r="D674" s="5"/>
      <c r="G674" s="5"/>
      <c r="I674" s="5"/>
      <c r="L674" s="5"/>
    </row>
    <row r="675" spans="1:12" x14ac:dyDescent="0.25">
      <c r="A675" s="5"/>
      <c r="D675" s="5"/>
      <c r="G675" s="5"/>
      <c r="I675" s="5"/>
      <c r="L675" s="5"/>
    </row>
    <row r="676" spans="1:12" x14ac:dyDescent="0.25">
      <c r="A676" s="5"/>
      <c r="D676" s="5"/>
      <c r="G676" s="5"/>
      <c r="I676" s="5"/>
      <c r="L676" s="5"/>
    </row>
    <row r="677" spans="1:12" x14ac:dyDescent="0.25">
      <c r="A677" s="5"/>
      <c r="D677" s="5"/>
      <c r="G677" s="5"/>
      <c r="I677" s="5"/>
      <c r="L677" s="5"/>
    </row>
    <row r="678" spans="1:12" x14ac:dyDescent="0.25">
      <c r="A678" s="5"/>
      <c r="D678" s="5"/>
      <c r="G678" s="5"/>
      <c r="I678" s="5"/>
      <c r="L678" s="5"/>
    </row>
    <row r="679" spans="1:12" x14ac:dyDescent="0.25">
      <c r="A679" s="5"/>
      <c r="D679" s="5"/>
      <c r="G679" s="5"/>
      <c r="I679" s="5"/>
      <c r="L679" s="5"/>
    </row>
    <row r="680" spans="1:12" x14ac:dyDescent="0.25">
      <c r="A680" s="5"/>
      <c r="D680" s="5"/>
      <c r="G680" s="5"/>
      <c r="I680" s="5"/>
      <c r="L680" s="5"/>
    </row>
    <row r="681" spans="1:12" x14ac:dyDescent="0.25">
      <c r="A681" s="5"/>
      <c r="D681" s="5"/>
      <c r="G681" s="5"/>
      <c r="I681" s="5"/>
      <c r="L681" s="5"/>
    </row>
    <row r="682" spans="1:12" x14ac:dyDescent="0.25">
      <c r="A682" s="5"/>
      <c r="D682" s="5"/>
      <c r="G682" s="5"/>
      <c r="I682" s="5"/>
      <c r="L682" s="5"/>
    </row>
    <row r="683" spans="1:12" x14ac:dyDescent="0.25">
      <c r="A683" s="5"/>
      <c r="D683" s="5"/>
      <c r="G683" s="5"/>
      <c r="I683" s="5"/>
      <c r="L683" s="5"/>
    </row>
    <row r="684" spans="1:12" x14ac:dyDescent="0.25">
      <c r="A684" s="5"/>
      <c r="D684" s="5"/>
      <c r="G684" s="5"/>
      <c r="I684" s="5"/>
      <c r="L684" s="5"/>
    </row>
    <row r="685" spans="1:12" x14ac:dyDescent="0.25">
      <c r="A685" s="5"/>
      <c r="D685" s="5"/>
      <c r="G685" s="5"/>
      <c r="I685" s="5"/>
      <c r="L685" s="5"/>
    </row>
    <row r="686" spans="1:12" x14ac:dyDescent="0.25">
      <c r="A686" s="5"/>
      <c r="D686" s="5"/>
      <c r="G686" s="5"/>
      <c r="I686" s="5"/>
      <c r="L686" s="5"/>
    </row>
    <row r="687" spans="1:12" x14ac:dyDescent="0.25">
      <c r="A687" s="5"/>
      <c r="D687" s="5"/>
      <c r="G687" s="5"/>
      <c r="I687" s="5"/>
      <c r="L687" s="5"/>
    </row>
    <row r="688" spans="1:12" x14ac:dyDescent="0.25">
      <c r="A688" s="5"/>
      <c r="D688" s="5"/>
      <c r="G688" s="5"/>
      <c r="I688" s="5"/>
      <c r="L688" s="5"/>
    </row>
    <row r="689" spans="1:12" x14ac:dyDescent="0.25">
      <c r="A689" s="5"/>
      <c r="D689" s="5"/>
      <c r="G689" s="5"/>
      <c r="I689" s="5"/>
      <c r="L689" s="5"/>
    </row>
    <row r="690" spans="1:12" x14ac:dyDescent="0.25">
      <c r="A690" s="5"/>
      <c r="D690" s="5"/>
      <c r="G690" s="5"/>
      <c r="I690" s="5"/>
      <c r="L690" s="5"/>
    </row>
    <row r="691" spans="1:12" x14ac:dyDescent="0.25">
      <c r="A691" s="5"/>
      <c r="D691" s="5"/>
      <c r="G691" s="5"/>
      <c r="I691" s="5"/>
      <c r="L691" s="5"/>
    </row>
    <row r="692" spans="1:12" x14ac:dyDescent="0.25">
      <c r="A692" s="5"/>
      <c r="D692" s="5"/>
      <c r="G692" s="5"/>
      <c r="I692" s="5"/>
      <c r="L692" s="5"/>
    </row>
    <row r="693" spans="1:12" x14ac:dyDescent="0.25">
      <c r="A693" s="5"/>
      <c r="D693" s="5"/>
      <c r="G693" s="5"/>
      <c r="I693" s="5"/>
      <c r="L693" s="5"/>
    </row>
    <row r="694" spans="1:12" x14ac:dyDescent="0.25">
      <c r="A694" s="5"/>
      <c r="D694" s="5"/>
      <c r="G694" s="5"/>
      <c r="I694" s="5"/>
      <c r="L694" s="5"/>
    </row>
    <row r="695" spans="1:12" x14ac:dyDescent="0.25">
      <c r="A695" s="5"/>
      <c r="D695" s="5"/>
      <c r="G695" s="5"/>
      <c r="I695" s="5"/>
      <c r="L695" s="5"/>
    </row>
    <row r="696" spans="1:12" x14ac:dyDescent="0.25">
      <c r="A696" s="5"/>
      <c r="D696" s="5"/>
      <c r="G696" s="5"/>
      <c r="I696" s="5"/>
      <c r="L696" s="5"/>
    </row>
    <row r="697" spans="1:12" x14ac:dyDescent="0.25">
      <c r="A697" s="5"/>
      <c r="D697" s="5"/>
      <c r="G697" s="5"/>
      <c r="I697" s="5"/>
      <c r="L697" s="5"/>
    </row>
    <row r="698" spans="1:12" x14ac:dyDescent="0.25">
      <c r="A698" s="5"/>
      <c r="D698" s="5"/>
      <c r="G698" s="5"/>
      <c r="I698" s="5"/>
      <c r="L698" s="5"/>
    </row>
    <row r="699" spans="1:12" x14ac:dyDescent="0.25">
      <c r="A699" s="5"/>
      <c r="D699" s="5"/>
      <c r="G699" s="5"/>
      <c r="I699" s="5"/>
      <c r="L699" s="5"/>
    </row>
    <row r="700" spans="1:12" x14ac:dyDescent="0.25">
      <c r="A700" s="5"/>
      <c r="D700" s="5"/>
      <c r="G700" s="5"/>
      <c r="I700" s="5"/>
      <c r="L700" s="5"/>
    </row>
    <row r="701" spans="1:12" x14ac:dyDescent="0.25">
      <c r="A701" s="5"/>
      <c r="D701" s="5"/>
      <c r="G701" s="5"/>
      <c r="I701" s="5"/>
      <c r="L701" s="5"/>
    </row>
    <row r="702" spans="1:12" x14ac:dyDescent="0.25">
      <c r="A702" s="5"/>
      <c r="D702" s="5"/>
      <c r="G702" s="5"/>
      <c r="I702" s="5"/>
      <c r="L702" s="5"/>
    </row>
    <row r="703" spans="1:12" x14ac:dyDescent="0.25">
      <c r="A703" s="5"/>
      <c r="D703" s="5"/>
      <c r="G703" s="5"/>
      <c r="I703" s="5"/>
      <c r="L703" s="5"/>
    </row>
    <row r="704" spans="1:12" x14ac:dyDescent="0.25">
      <c r="A704" s="5"/>
      <c r="D704" s="5"/>
      <c r="G704" s="5"/>
      <c r="I704" s="5"/>
      <c r="L704" s="5"/>
    </row>
    <row r="705" spans="1:12" x14ac:dyDescent="0.25">
      <c r="A705" s="5"/>
      <c r="D705" s="5"/>
      <c r="G705" s="5"/>
      <c r="I705" s="5"/>
      <c r="L705" s="5"/>
    </row>
    <row r="706" spans="1:12" x14ac:dyDescent="0.25">
      <c r="A706" s="5"/>
      <c r="D706" s="5"/>
      <c r="G706" s="5"/>
      <c r="I706" s="5"/>
      <c r="L706" s="5"/>
    </row>
    <row r="707" spans="1:12" x14ac:dyDescent="0.25">
      <c r="A707" s="5"/>
      <c r="D707" s="5"/>
      <c r="G707" s="5"/>
      <c r="I707" s="5"/>
      <c r="L707" s="5"/>
    </row>
    <row r="708" spans="1:12" x14ac:dyDescent="0.25">
      <c r="A708" s="5"/>
      <c r="D708" s="5"/>
      <c r="G708" s="5"/>
      <c r="I708" s="5"/>
      <c r="L708" s="5"/>
    </row>
    <row r="709" spans="1:12" x14ac:dyDescent="0.25">
      <c r="A709" s="5"/>
      <c r="D709" s="5"/>
      <c r="G709" s="5"/>
      <c r="I709" s="5"/>
      <c r="L709" s="5"/>
    </row>
    <row r="710" spans="1:12" x14ac:dyDescent="0.25">
      <c r="A710" s="5"/>
      <c r="D710" s="5"/>
      <c r="G710" s="5"/>
      <c r="I710" s="5"/>
      <c r="L710" s="5"/>
    </row>
    <row r="711" spans="1:12" x14ac:dyDescent="0.25">
      <c r="A711" s="5"/>
      <c r="D711" s="5"/>
      <c r="G711" s="5"/>
      <c r="I711" s="5"/>
      <c r="L711" s="5"/>
    </row>
    <row r="712" spans="1:12" x14ac:dyDescent="0.25">
      <c r="A712" s="5"/>
      <c r="D712" s="5"/>
      <c r="G712" s="5"/>
      <c r="I712" s="5"/>
      <c r="L712" s="5"/>
    </row>
    <row r="713" spans="1:12" x14ac:dyDescent="0.25">
      <c r="A713" s="5"/>
      <c r="D713" s="5"/>
      <c r="G713" s="5"/>
      <c r="I713" s="5"/>
      <c r="L713" s="5"/>
    </row>
    <row r="714" spans="1:12" x14ac:dyDescent="0.25">
      <c r="A714" s="5"/>
      <c r="D714" s="5"/>
      <c r="G714" s="5"/>
      <c r="I714" s="5"/>
      <c r="L714" s="5"/>
    </row>
    <row r="715" spans="1:12" x14ac:dyDescent="0.25">
      <c r="A715" s="5"/>
      <c r="D715" s="5"/>
      <c r="G715" s="5"/>
      <c r="I715" s="5"/>
      <c r="L715" s="5"/>
    </row>
    <row r="716" spans="1:12" x14ac:dyDescent="0.25">
      <c r="A716" s="5"/>
      <c r="D716" s="5"/>
      <c r="G716" s="5"/>
      <c r="I716" s="5"/>
      <c r="L716" s="5"/>
    </row>
    <row r="717" spans="1:12" x14ac:dyDescent="0.25">
      <c r="A717" s="5"/>
      <c r="D717" s="5"/>
      <c r="G717" s="5"/>
      <c r="I717" s="5"/>
      <c r="L717" s="5"/>
    </row>
    <row r="718" spans="1:12" x14ac:dyDescent="0.25">
      <c r="A718" s="5"/>
      <c r="D718" s="5"/>
      <c r="G718" s="5"/>
      <c r="I718" s="5"/>
      <c r="L718" s="5"/>
    </row>
    <row r="719" spans="1:12" x14ac:dyDescent="0.25">
      <c r="A719" s="5"/>
      <c r="D719" s="5"/>
      <c r="G719" s="5"/>
      <c r="I719" s="5"/>
      <c r="L719" s="5"/>
    </row>
    <row r="720" spans="1:12" x14ac:dyDescent="0.25">
      <c r="A720" s="5"/>
      <c r="D720" s="5"/>
      <c r="G720" s="5"/>
      <c r="I720" s="5"/>
      <c r="L720" s="5"/>
    </row>
    <row r="721" spans="1:12" x14ac:dyDescent="0.25">
      <c r="A721" s="5"/>
      <c r="D721" s="5"/>
      <c r="G721" s="5"/>
      <c r="I721" s="5"/>
      <c r="L721" s="5"/>
    </row>
    <row r="722" spans="1:12" x14ac:dyDescent="0.25">
      <c r="A722" s="5"/>
      <c r="D722" s="5"/>
      <c r="G722" s="5"/>
      <c r="I722" s="5"/>
      <c r="L722" s="5"/>
    </row>
    <row r="723" spans="1:12" x14ac:dyDescent="0.25">
      <c r="A723" s="5"/>
      <c r="D723" s="5"/>
      <c r="G723" s="5"/>
      <c r="I723" s="5"/>
      <c r="L723" s="5"/>
    </row>
    <row r="724" spans="1:12" x14ac:dyDescent="0.25">
      <c r="A724" s="5"/>
      <c r="D724" s="5"/>
      <c r="G724" s="5"/>
      <c r="I724" s="5"/>
      <c r="L724" s="5"/>
    </row>
    <row r="725" spans="1:12" x14ac:dyDescent="0.25">
      <c r="A725" s="5"/>
      <c r="D725" s="5"/>
      <c r="G725" s="5"/>
      <c r="I725" s="5"/>
      <c r="L725" s="5"/>
    </row>
    <row r="726" spans="1:12" x14ac:dyDescent="0.25">
      <c r="A726" s="5"/>
      <c r="D726" s="5"/>
      <c r="G726" s="5"/>
      <c r="I726" s="5"/>
      <c r="L726" s="5"/>
    </row>
    <row r="727" spans="1:12" x14ac:dyDescent="0.25">
      <c r="A727" s="5"/>
      <c r="D727" s="5"/>
      <c r="G727" s="5"/>
      <c r="I727" s="5"/>
      <c r="L727" s="5"/>
    </row>
    <row r="728" spans="1:12" x14ac:dyDescent="0.25">
      <c r="A728" s="5"/>
      <c r="D728" s="5"/>
      <c r="G728" s="5"/>
      <c r="I728" s="5"/>
      <c r="L728" s="5"/>
    </row>
    <row r="729" spans="1:12" x14ac:dyDescent="0.25">
      <c r="A729" s="5"/>
      <c r="D729" s="5"/>
      <c r="G729" s="5"/>
      <c r="I729" s="5"/>
      <c r="L729" s="5"/>
    </row>
    <row r="730" spans="1:12" x14ac:dyDescent="0.25">
      <c r="A730" s="5"/>
      <c r="D730" s="5"/>
      <c r="G730" s="5"/>
      <c r="I730" s="5"/>
      <c r="L730" s="5"/>
    </row>
    <row r="731" spans="1:12" x14ac:dyDescent="0.25">
      <c r="A731" s="5"/>
      <c r="D731" s="5"/>
      <c r="G731" s="5"/>
      <c r="I731" s="5"/>
      <c r="L731" s="5"/>
    </row>
    <row r="732" spans="1:12" x14ac:dyDescent="0.25">
      <c r="A732" s="5"/>
      <c r="D732" s="5"/>
      <c r="G732" s="5"/>
      <c r="I732" s="5"/>
      <c r="L732" s="5"/>
    </row>
    <row r="733" spans="1:12" x14ac:dyDescent="0.25">
      <c r="A733" s="5"/>
      <c r="D733" s="5"/>
      <c r="G733" s="5"/>
      <c r="I733" s="5"/>
      <c r="L733" s="5"/>
    </row>
    <row r="734" spans="1:12" x14ac:dyDescent="0.25">
      <c r="A734" s="5"/>
      <c r="D734" s="5"/>
      <c r="G734" s="5"/>
      <c r="I734" s="5"/>
      <c r="L734" s="5"/>
    </row>
    <row r="735" spans="1:12" x14ac:dyDescent="0.25">
      <c r="A735" s="5"/>
      <c r="D735" s="5"/>
      <c r="G735" s="5"/>
      <c r="I735" s="5"/>
      <c r="L735" s="5"/>
    </row>
    <row r="736" spans="1:12" x14ac:dyDescent="0.25">
      <c r="A736" s="5"/>
      <c r="D736" s="5"/>
      <c r="G736" s="5"/>
      <c r="I736" s="5"/>
      <c r="L736" s="5"/>
    </row>
    <row r="737" spans="1:12" x14ac:dyDescent="0.25">
      <c r="A737" s="5"/>
      <c r="D737" s="5"/>
      <c r="G737" s="5"/>
      <c r="I737" s="5"/>
      <c r="L737" s="5"/>
    </row>
    <row r="738" spans="1:12" x14ac:dyDescent="0.25">
      <c r="A738" s="5"/>
      <c r="D738" s="5"/>
      <c r="G738" s="5"/>
      <c r="I738" s="5"/>
      <c r="L738" s="5"/>
    </row>
    <row r="739" spans="1:12" x14ac:dyDescent="0.25">
      <c r="A739" s="5"/>
      <c r="D739" s="5"/>
      <c r="G739" s="5"/>
      <c r="I739" s="5"/>
      <c r="L739" s="5"/>
    </row>
    <row r="740" spans="1:12" x14ac:dyDescent="0.25">
      <c r="A740" s="5"/>
      <c r="D740" s="5"/>
      <c r="G740" s="5"/>
      <c r="I740" s="5"/>
      <c r="L740" s="5"/>
    </row>
    <row r="741" spans="1:12" x14ac:dyDescent="0.25">
      <c r="A741" s="5"/>
      <c r="D741" s="5"/>
      <c r="G741" s="5"/>
      <c r="I741" s="5"/>
      <c r="L741" s="5"/>
    </row>
    <row r="742" spans="1:12" x14ac:dyDescent="0.25">
      <c r="A742" s="5"/>
      <c r="D742" s="5"/>
      <c r="G742" s="5"/>
      <c r="I742" s="5"/>
      <c r="L742" s="5"/>
    </row>
    <row r="743" spans="1:12" x14ac:dyDescent="0.25">
      <c r="A743" s="5"/>
      <c r="D743" s="5"/>
      <c r="G743" s="5"/>
      <c r="I743" s="5"/>
      <c r="L743" s="5"/>
    </row>
    <row r="744" spans="1:12" x14ac:dyDescent="0.25">
      <c r="A744" s="5"/>
      <c r="D744" s="5"/>
      <c r="G744" s="5"/>
      <c r="I744" s="5"/>
      <c r="L744" s="5"/>
    </row>
    <row r="745" spans="1:12" x14ac:dyDescent="0.25">
      <c r="A745" s="5"/>
      <c r="D745" s="5"/>
      <c r="G745" s="5"/>
      <c r="I745" s="5"/>
      <c r="L745" s="5"/>
    </row>
    <row r="746" spans="1:12" x14ac:dyDescent="0.25">
      <c r="A746" s="5"/>
      <c r="D746" s="5"/>
      <c r="G746" s="5"/>
      <c r="I746" s="5"/>
      <c r="L746" s="5"/>
    </row>
    <row r="747" spans="1:12" x14ac:dyDescent="0.25">
      <c r="A747" s="5"/>
      <c r="D747" s="5"/>
      <c r="G747" s="5"/>
      <c r="I747" s="5"/>
      <c r="L747" s="5"/>
    </row>
    <row r="748" spans="1:12" x14ac:dyDescent="0.25">
      <c r="A748" s="5"/>
      <c r="D748" s="5"/>
      <c r="G748" s="5"/>
      <c r="I748" s="5"/>
      <c r="L748" s="5"/>
    </row>
    <row r="749" spans="1:12" x14ac:dyDescent="0.25">
      <c r="A749" s="5"/>
      <c r="D749" s="5"/>
      <c r="G749" s="5"/>
      <c r="I749" s="5"/>
      <c r="L749" s="5"/>
    </row>
    <row r="750" spans="1:12" x14ac:dyDescent="0.25">
      <c r="A750" s="5"/>
      <c r="D750" s="5"/>
      <c r="G750" s="5"/>
      <c r="I750" s="5"/>
      <c r="L750" s="5"/>
    </row>
    <row r="751" spans="1:12" x14ac:dyDescent="0.25">
      <c r="A751" s="5"/>
      <c r="D751" s="5"/>
      <c r="G751" s="5"/>
      <c r="I751" s="5"/>
      <c r="L751" s="5"/>
    </row>
    <row r="752" spans="1:12" x14ac:dyDescent="0.25">
      <c r="A752" s="5"/>
      <c r="D752" s="5"/>
      <c r="G752" s="5"/>
      <c r="I752" s="5"/>
      <c r="L752" s="5"/>
    </row>
    <row r="753" spans="1:12" x14ac:dyDescent="0.25">
      <c r="A753" s="5"/>
      <c r="D753" s="5"/>
      <c r="G753" s="5"/>
      <c r="I753" s="5"/>
      <c r="L753" s="5"/>
    </row>
    <row r="754" spans="1:12" x14ac:dyDescent="0.25">
      <c r="A754" s="5"/>
      <c r="D754" s="5"/>
      <c r="G754" s="5"/>
      <c r="I754" s="5"/>
      <c r="L754" s="5"/>
    </row>
    <row r="755" spans="1:12" x14ac:dyDescent="0.25">
      <c r="A755" s="5"/>
      <c r="D755" s="5"/>
      <c r="G755" s="5"/>
      <c r="I755" s="5"/>
      <c r="L755" s="5"/>
    </row>
    <row r="756" spans="1:12" x14ac:dyDescent="0.25">
      <c r="A756" s="5"/>
      <c r="D756" s="5"/>
      <c r="G756" s="5"/>
      <c r="I756" s="5"/>
      <c r="L756" s="5"/>
    </row>
    <row r="757" spans="1:12" x14ac:dyDescent="0.25">
      <c r="A757" s="5"/>
      <c r="D757" s="5"/>
      <c r="G757" s="5"/>
      <c r="I757" s="5"/>
      <c r="L757" s="5"/>
    </row>
    <row r="758" spans="1:12" x14ac:dyDescent="0.25">
      <c r="A758" s="5"/>
      <c r="D758" s="5"/>
      <c r="G758" s="5"/>
      <c r="I758" s="5"/>
      <c r="L758" s="5"/>
    </row>
    <row r="759" spans="1:12" x14ac:dyDescent="0.25">
      <c r="A759" s="5"/>
      <c r="D759" s="5"/>
      <c r="G759" s="5"/>
      <c r="I759" s="5"/>
      <c r="L759" s="5"/>
    </row>
    <row r="760" spans="1:12" x14ac:dyDescent="0.25">
      <c r="A760" s="5"/>
      <c r="D760" s="5"/>
      <c r="G760" s="5"/>
      <c r="I760" s="5"/>
      <c r="L760" s="5"/>
    </row>
    <row r="761" spans="1:12" x14ac:dyDescent="0.25">
      <c r="A761" s="5"/>
      <c r="D761" s="5"/>
      <c r="G761" s="5"/>
      <c r="I761" s="5"/>
      <c r="L761" s="5"/>
    </row>
    <row r="762" spans="1:12" x14ac:dyDescent="0.25">
      <c r="A762" s="5"/>
      <c r="D762" s="5"/>
      <c r="G762" s="5"/>
      <c r="I762" s="5"/>
      <c r="L762" s="5"/>
    </row>
    <row r="763" spans="1:12" x14ac:dyDescent="0.25">
      <c r="A763" s="5"/>
      <c r="D763" s="5"/>
      <c r="G763" s="5"/>
      <c r="I763" s="5"/>
      <c r="L763" s="5"/>
    </row>
    <row r="764" spans="1:12" x14ac:dyDescent="0.25">
      <c r="A764" s="5"/>
      <c r="D764" s="5"/>
      <c r="G764" s="5"/>
      <c r="I764" s="5"/>
      <c r="L764" s="5"/>
    </row>
    <row r="765" spans="1:12" x14ac:dyDescent="0.25">
      <c r="A765" s="5"/>
      <c r="D765" s="5"/>
      <c r="G765" s="5"/>
      <c r="I765" s="5"/>
      <c r="L765" s="5"/>
    </row>
    <row r="766" spans="1:12" x14ac:dyDescent="0.25">
      <c r="A766" s="5"/>
      <c r="D766" s="5"/>
      <c r="G766" s="5"/>
      <c r="I766" s="5"/>
      <c r="L766" s="5"/>
    </row>
    <row r="767" spans="1:12" x14ac:dyDescent="0.25">
      <c r="A767" s="5"/>
      <c r="D767" s="5"/>
      <c r="G767" s="5"/>
      <c r="I767" s="5"/>
      <c r="L767" s="5"/>
    </row>
    <row r="768" spans="1:12" x14ac:dyDescent="0.25">
      <c r="A768" s="5"/>
      <c r="D768" s="5"/>
      <c r="G768" s="5"/>
      <c r="I768" s="5"/>
      <c r="L768" s="5"/>
    </row>
    <row r="769" spans="1:12" x14ac:dyDescent="0.25">
      <c r="A769" s="5"/>
      <c r="D769" s="5"/>
      <c r="G769" s="5"/>
      <c r="I769" s="5"/>
      <c r="L769" s="5"/>
    </row>
    <row r="770" spans="1:12" x14ac:dyDescent="0.25">
      <c r="A770" s="5"/>
      <c r="D770" s="5"/>
      <c r="G770" s="5"/>
      <c r="I770" s="5"/>
      <c r="L770" s="5"/>
    </row>
    <row r="771" spans="1:12" x14ac:dyDescent="0.25">
      <c r="A771" s="5"/>
      <c r="D771" s="5"/>
      <c r="G771" s="5"/>
      <c r="I771" s="5"/>
      <c r="L771" s="5"/>
    </row>
    <row r="772" spans="1:12" x14ac:dyDescent="0.25">
      <c r="A772" s="5"/>
      <c r="D772" s="5"/>
      <c r="G772" s="5"/>
      <c r="I772" s="5"/>
      <c r="L772" s="5"/>
    </row>
    <row r="773" spans="1:12" x14ac:dyDescent="0.25">
      <c r="A773" s="5"/>
      <c r="D773" s="5"/>
      <c r="G773" s="5"/>
      <c r="I773" s="5"/>
      <c r="L773" s="5"/>
    </row>
    <row r="774" spans="1:12" x14ac:dyDescent="0.25">
      <c r="A774" s="5"/>
      <c r="D774" s="5"/>
      <c r="G774" s="5"/>
      <c r="I774" s="5"/>
      <c r="L774" s="5"/>
    </row>
    <row r="775" spans="1:12" x14ac:dyDescent="0.25">
      <c r="A775" s="5"/>
      <c r="D775" s="5"/>
      <c r="G775" s="5"/>
      <c r="I775" s="5"/>
      <c r="L775" s="5"/>
    </row>
    <row r="776" spans="1:12" x14ac:dyDescent="0.25">
      <c r="A776" s="5"/>
      <c r="D776" s="5"/>
      <c r="G776" s="5"/>
      <c r="I776" s="5"/>
      <c r="L776" s="5"/>
    </row>
    <row r="777" spans="1:12" x14ac:dyDescent="0.25">
      <c r="A777" s="5"/>
      <c r="D777" s="5"/>
      <c r="G777" s="5"/>
      <c r="I777" s="5"/>
      <c r="L777" s="5"/>
    </row>
    <row r="778" spans="1:12" x14ac:dyDescent="0.25">
      <c r="A778" s="5"/>
      <c r="D778" s="5"/>
      <c r="G778" s="5"/>
      <c r="I778" s="5"/>
      <c r="L778" s="5"/>
    </row>
    <row r="779" spans="1:12" x14ac:dyDescent="0.25">
      <c r="A779" s="5"/>
      <c r="D779" s="5"/>
      <c r="G779" s="5"/>
      <c r="I779" s="5"/>
      <c r="L779" s="5"/>
    </row>
    <row r="780" spans="1:12" x14ac:dyDescent="0.25">
      <c r="A780" s="5"/>
      <c r="D780" s="5"/>
      <c r="G780" s="5"/>
      <c r="I780" s="5"/>
      <c r="L780" s="5"/>
    </row>
    <row r="781" spans="1:12" x14ac:dyDescent="0.25">
      <c r="A781" s="5"/>
      <c r="D781" s="5"/>
      <c r="G781" s="5"/>
      <c r="I781" s="5"/>
      <c r="L781" s="5"/>
    </row>
    <row r="782" spans="1:12" x14ac:dyDescent="0.25">
      <c r="A782" s="5"/>
      <c r="D782" s="5"/>
      <c r="G782" s="5"/>
      <c r="I782" s="5"/>
      <c r="L782" s="5"/>
    </row>
    <row r="783" spans="1:12" x14ac:dyDescent="0.25">
      <c r="A783" s="5"/>
      <c r="D783" s="5"/>
      <c r="G783" s="5"/>
      <c r="I783" s="5"/>
      <c r="L783" s="5"/>
    </row>
    <row r="784" spans="1:12" x14ac:dyDescent="0.25">
      <c r="A784" s="5"/>
      <c r="D784" s="5"/>
      <c r="G784" s="5"/>
      <c r="I784" s="5"/>
      <c r="L784" s="5"/>
    </row>
    <row r="785" spans="1:12" x14ac:dyDescent="0.25">
      <c r="A785" s="5"/>
      <c r="D785" s="5"/>
      <c r="G785" s="5"/>
      <c r="I785" s="5"/>
      <c r="L785" s="5"/>
    </row>
    <row r="786" spans="1:12" x14ac:dyDescent="0.25">
      <c r="A786" s="5"/>
      <c r="D786" s="5"/>
      <c r="G786" s="5"/>
      <c r="I786" s="5"/>
      <c r="L786" s="5"/>
    </row>
    <row r="787" spans="1:12" x14ac:dyDescent="0.25">
      <c r="A787" s="5"/>
      <c r="D787" s="5"/>
      <c r="G787" s="5"/>
      <c r="I787" s="5"/>
      <c r="L787" s="5"/>
    </row>
    <row r="788" spans="1:12" x14ac:dyDescent="0.25">
      <c r="A788" s="5"/>
      <c r="D788" s="5"/>
      <c r="G788" s="5"/>
      <c r="I788" s="5"/>
      <c r="L788" s="5"/>
    </row>
    <row r="789" spans="1:12" x14ac:dyDescent="0.25">
      <c r="A789" s="5"/>
      <c r="D789" s="5"/>
      <c r="G789" s="5"/>
      <c r="I789" s="5"/>
      <c r="L789" s="5"/>
    </row>
    <row r="790" spans="1:12" x14ac:dyDescent="0.25">
      <c r="A790" s="5"/>
      <c r="D790" s="5"/>
      <c r="G790" s="5"/>
      <c r="I790" s="5"/>
      <c r="L790" s="5"/>
    </row>
    <row r="791" spans="1:12" x14ac:dyDescent="0.25">
      <c r="A791" s="5"/>
      <c r="D791" s="5"/>
      <c r="G791" s="5"/>
      <c r="I791" s="5"/>
      <c r="L791" s="5"/>
    </row>
    <row r="792" spans="1:12" x14ac:dyDescent="0.25">
      <c r="A792" s="5"/>
      <c r="D792" s="5"/>
      <c r="G792" s="5"/>
      <c r="I792" s="5"/>
      <c r="L792" s="5"/>
    </row>
    <row r="793" spans="1:12" x14ac:dyDescent="0.25">
      <c r="A793" s="5"/>
      <c r="D793" s="5"/>
      <c r="G793" s="5"/>
      <c r="I793" s="5"/>
      <c r="L793" s="5"/>
    </row>
    <row r="794" spans="1:12" x14ac:dyDescent="0.25">
      <c r="A794" s="5"/>
      <c r="D794" s="5"/>
      <c r="G794" s="5"/>
      <c r="I794" s="5"/>
      <c r="L794" s="5"/>
    </row>
    <row r="795" spans="1:12" x14ac:dyDescent="0.25">
      <c r="A795" s="5"/>
      <c r="D795" s="5"/>
      <c r="G795" s="5"/>
      <c r="I795" s="5"/>
      <c r="L795" s="5"/>
    </row>
    <row r="796" spans="1:12" x14ac:dyDescent="0.25">
      <c r="A796" s="5"/>
      <c r="D796" s="5"/>
      <c r="G796" s="5"/>
      <c r="I796" s="5"/>
      <c r="L796" s="5"/>
    </row>
    <row r="797" spans="1:12" x14ac:dyDescent="0.25">
      <c r="A797" s="5"/>
      <c r="D797" s="5"/>
      <c r="G797" s="5"/>
      <c r="I797" s="5"/>
      <c r="L797" s="5"/>
    </row>
    <row r="798" spans="1:12" x14ac:dyDescent="0.25">
      <c r="A798" s="5"/>
      <c r="D798" s="5"/>
      <c r="G798" s="5"/>
      <c r="I798" s="5"/>
      <c r="L798" s="5"/>
    </row>
    <row r="799" spans="1:12" x14ac:dyDescent="0.25">
      <c r="A799" s="5"/>
      <c r="D799" s="5"/>
      <c r="G799" s="5"/>
      <c r="I799" s="5"/>
      <c r="L799" s="5"/>
    </row>
    <row r="800" spans="1:12" x14ac:dyDescent="0.25">
      <c r="A800" s="5"/>
      <c r="D800" s="5"/>
      <c r="G800" s="5"/>
      <c r="I800" s="5"/>
      <c r="L800" s="5"/>
    </row>
    <row r="801" spans="1:12" x14ac:dyDescent="0.25">
      <c r="A801" s="5"/>
      <c r="D801" s="5"/>
      <c r="G801" s="5"/>
      <c r="I801" s="5"/>
      <c r="L801" s="5"/>
    </row>
    <row r="802" spans="1:12" x14ac:dyDescent="0.25">
      <c r="A802" s="5"/>
      <c r="D802" s="5"/>
      <c r="G802" s="5"/>
      <c r="I802" s="5"/>
      <c r="L802" s="5"/>
    </row>
    <row r="803" spans="1:12" x14ac:dyDescent="0.25">
      <c r="A803" s="5"/>
      <c r="D803" s="5"/>
      <c r="G803" s="5"/>
      <c r="I803" s="5"/>
      <c r="L803" s="5"/>
    </row>
    <row r="804" spans="1:12" x14ac:dyDescent="0.25">
      <c r="A804" s="5"/>
      <c r="D804" s="5"/>
      <c r="G804" s="5"/>
      <c r="I804" s="5"/>
      <c r="L804" s="5"/>
    </row>
    <row r="805" spans="1:12" x14ac:dyDescent="0.25">
      <c r="A805" s="5"/>
      <c r="D805" s="5"/>
      <c r="G805" s="5"/>
      <c r="I805" s="5"/>
      <c r="L805" s="5"/>
    </row>
    <row r="806" spans="1:12" x14ac:dyDescent="0.25">
      <c r="A806" s="5"/>
      <c r="D806" s="5"/>
      <c r="G806" s="5"/>
      <c r="I806" s="5"/>
      <c r="L806" s="5"/>
    </row>
    <row r="807" spans="1:12" x14ac:dyDescent="0.25">
      <c r="A807" s="5"/>
      <c r="D807" s="5"/>
      <c r="G807" s="5"/>
      <c r="I807" s="5"/>
      <c r="L807" s="5"/>
    </row>
    <row r="808" spans="1:12" x14ac:dyDescent="0.25">
      <c r="A808" s="5"/>
      <c r="D808" s="5"/>
      <c r="G808" s="5"/>
      <c r="I808" s="5"/>
      <c r="L808" s="5"/>
    </row>
    <row r="809" spans="1:12" x14ac:dyDescent="0.25">
      <c r="A809" s="5"/>
      <c r="D809" s="5"/>
      <c r="G809" s="5"/>
      <c r="I809" s="5"/>
      <c r="L809" s="5"/>
    </row>
    <row r="810" spans="1:12" x14ac:dyDescent="0.25">
      <c r="A810" s="5"/>
      <c r="D810" s="5"/>
      <c r="G810" s="5"/>
      <c r="I810" s="5"/>
      <c r="L810" s="5"/>
    </row>
    <row r="811" spans="1:12" x14ac:dyDescent="0.25">
      <c r="A811" s="5"/>
      <c r="D811" s="5"/>
      <c r="G811" s="5"/>
      <c r="I811" s="5"/>
      <c r="L811" s="5"/>
    </row>
    <row r="812" spans="1:12" x14ac:dyDescent="0.25">
      <c r="A812" s="5"/>
      <c r="D812" s="5"/>
      <c r="G812" s="5"/>
      <c r="I812" s="5"/>
      <c r="L812" s="5"/>
    </row>
    <row r="813" spans="1:12" x14ac:dyDescent="0.25">
      <c r="A813" s="5"/>
      <c r="D813" s="5"/>
      <c r="G813" s="5"/>
      <c r="I813" s="5"/>
      <c r="L813" s="5"/>
    </row>
    <row r="814" spans="1:12" x14ac:dyDescent="0.25">
      <c r="A814" s="5"/>
      <c r="D814" s="5"/>
      <c r="G814" s="5"/>
      <c r="I814" s="5"/>
      <c r="L814" s="5"/>
    </row>
    <row r="815" spans="1:12" x14ac:dyDescent="0.25">
      <c r="A815" s="5"/>
      <c r="D815" s="5"/>
      <c r="G815" s="5"/>
      <c r="I815" s="5"/>
      <c r="L815" s="5"/>
    </row>
    <row r="816" spans="1:12" x14ac:dyDescent="0.25">
      <c r="A816" s="5"/>
      <c r="D816" s="5"/>
      <c r="G816" s="5"/>
      <c r="I816" s="5"/>
      <c r="L816" s="5"/>
    </row>
    <row r="817" spans="1:12" x14ac:dyDescent="0.25">
      <c r="A817" s="5"/>
      <c r="D817" s="5"/>
      <c r="G817" s="5"/>
      <c r="I817" s="5"/>
      <c r="L817" s="5"/>
    </row>
    <row r="818" spans="1:12" x14ac:dyDescent="0.25">
      <c r="A818" s="5"/>
      <c r="D818" s="5"/>
      <c r="G818" s="5"/>
      <c r="I818" s="5"/>
      <c r="L818" s="5"/>
    </row>
    <row r="819" spans="1:12" x14ac:dyDescent="0.25">
      <c r="A819" s="5"/>
      <c r="D819" s="5"/>
      <c r="G819" s="5"/>
      <c r="I819" s="5"/>
      <c r="L819" s="5"/>
    </row>
    <row r="820" spans="1:12" x14ac:dyDescent="0.25">
      <c r="A820" s="5"/>
      <c r="D820" s="5"/>
      <c r="G820" s="5"/>
      <c r="I820" s="5"/>
      <c r="L820" s="5"/>
    </row>
    <row r="821" spans="1:12" x14ac:dyDescent="0.25">
      <c r="A821" s="5"/>
      <c r="D821" s="5"/>
      <c r="G821" s="5"/>
      <c r="I821" s="5"/>
      <c r="L821" s="5"/>
    </row>
    <row r="822" spans="1:12" x14ac:dyDescent="0.25">
      <c r="A822" s="5"/>
      <c r="D822" s="5"/>
      <c r="G822" s="5"/>
      <c r="I822" s="5"/>
      <c r="L822" s="5"/>
    </row>
    <row r="823" spans="1:12" x14ac:dyDescent="0.25">
      <c r="A823" s="5"/>
      <c r="D823" s="5"/>
      <c r="G823" s="5"/>
      <c r="I823" s="5"/>
      <c r="L823" s="5"/>
    </row>
    <row r="824" spans="1:12" x14ac:dyDescent="0.25">
      <c r="A824" s="5"/>
      <c r="D824" s="5"/>
      <c r="G824" s="5"/>
      <c r="I824" s="5"/>
      <c r="L824" s="5"/>
    </row>
    <row r="825" spans="1:12" x14ac:dyDescent="0.25">
      <c r="A825" s="5"/>
      <c r="D825" s="5"/>
      <c r="G825" s="5"/>
      <c r="I825" s="5"/>
      <c r="L825" s="5"/>
    </row>
    <row r="826" spans="1:12" x14ac:dyDescent="0.25">
      <c r="A826" s="5"/>
      <c r="D826" s="5"/>
      <c r="G826" s="5"/>
      <c r="I826" s="5"/>
      <c r="L826" s="5"/>
    </row>
    <row r="827" spans="1:12" x14ac:dyDescent="0.25">
      <c r="A827" s="5"/>
      <c r="D827" s="5"/>
      <c r="G827" s="5"/>
      <c r="I827" s="5"/>
      <c r="L827" s="5"/>
    </row>
    <row r="828" spans="1:12" x14ac:dyDescent="0.25">
      <c r="A828" s="5"/>
      <c r="D828" s="5"/>
      <c r="G828" s="5"/>
      <c r="I828" s="5"/>
      <c r="L828" s="5"/>
    </row>
    <row r="829" spans="1:12" x14ac:dyDescent="0.25">
      <c r="A829" s="5"/>
      <c r="D829" s="5"/>
      <c r="G829" s="5"/>
      <c r="I829" s="5"/>
      <c r="L829" s="5"/>
    </row>
    <row r="830" spans="1:12" x14ac:dyDescent="0.25">
      <c r="A830" s="5"/>
      <c r="D830" s="5"/>
      <c r="G830" s="5"/>
      <c r="I830" s="5"/>
      <c r="L830" s="5"/>
    </row>
    <row r="831" spans="1:12" x14ac:dyDescent="0.25">
      <c r="A831" s="5"/>
      <c r="D831" s="5"/>
      <c r="G831" s="5"/>
      <c r="I831" s="5"/>
      <c r="L831" s="5"/>
    </row>
    <row r="832" spans="1:12" x14ac:dyDescent="0.25">
      <c r="A832" s="5"/>
      <c r="D832" s="5"/>
      <c r="G832" s="5"/>
      <c r="I832" s="5"/>
      <c r="L832" s="5"/>
    </row>
    <row r="833" spans="1:12" x14ac:dyDescent="0.25">
      <c r="A833" s="5"/>
      <c r="D833" s="5"/>
      <c r="G833" s="5"/>
      <c r="I833" s="5"/>
      <c r="L833" s="5"/>
    </row>
    <row r="834" spans="1:12" x14ac:dyDescent="0.25">
      <c r="A834" s="5"/>
      <c r="D834" s="5"/>
      <c r="G834" s="5"/>
      <c r="I834" s="5"/>
      <c r="L834" s="5"/>
    </row>
    <row r="835" spans="1:12" x14ac:dyDescent="0.25">
      <c r="A835" s="5"/>
      <c r="D835" s="5"/>
      <c r="G835" s="5"/>
      <c r="I835" s="5"/>
      <c r="L835" s="5"/>
    </row>
    <row r="836" spans="1:12" x14ac:dyDescent="0.25">
      <c r="A836" s="5"/>
      <c r="D836" s="5"/>
      <c r="G836" s="5"/>
      <c r="I836" s="5"/>
      <c r="L836" s="5"/>
    </row>
    <row r="837" spans="1:12" x14ac:dyDescent="0.25">
      <c r="A837" s="5"/>
      <c r="D837" s="5"/>
      <c r="G837" s="5"/>
      <c r="I837" s="5"/>
      <c r="L837" s="5"/>
    </row>
    <row r="838" spans="1:12" x14ac:dyDescent="0.25">
      <c r="A838" s="5"/>
      <c r="D838" s="5"/>
      <c r="G838" s="5"/>
      <c r="I838" s="5"/>
      <c r="L838" s="5"/>
    </row>
    <row r="839" spans="1:12" x14ac:dyDescent="0.25">
      <c r="A839" s="5"/>
      <c r="D839" s="5"/>
      <c r="G839" s="5"/>
      <c r="I839" s="5"/>
      <c r="L839" s="5"/>
    </row>
    <row r="840" spans="1:12" x14ac:dyDescent="0.25">
      <c r="A840" s="5"/>
      <c r="D840" s="5"/>
      <c r="G840" s="5"/>
      <c r="I840" s="5"/>
      <c r="L840" s="5"/>
    </row>
    <row r="841" spans="1:12" x14ac:dyDescent="0.25">
      <c r="A841" s="5"/>
      <c r="D841" s="5"/>
      <c r="G841" s="5"/>
      <c r="I841" s="5"/>
      <c r="L841" s="5"/>
    </row>
    <row r="842" spans="1:12" x14ac:dyDescent="0.25">
      <c r="A842" s="5"/>
      <c r="D842" s="5"/>
      <c r="G842" s="5"/>
      <c r="I842" s="5"/>
      <c r="L842" s="5"/>
    </row>
    <row r="843" spans="1:12" x14ac:dyDescent="0.25">
      <c r="A843" s="5"/>
      <c r="D843" s="5"/>
      <c r="G843" s="5"/>
      <c r="I843" s="5"/>
      <c r="L843" s="5"/>
    </row>
    <row r="844" spans="1:12" x14ac:dyDescent="0.25">
      <c r="A844" s="5"/>
      <c r="D844" s="5"/>
      <c r="G844" s="5"/>
      <c r="I844" s="5"/>
      <c r="L844" s="5"/>
    </row>
    <row r="845" spans="1:12" x14ac:dyDescent="0.25">
      <c r="A845" s="5"/>
      <c r="D845" s="5"/>
      <c r="G845" s="5"/>
      <c r="I845" s="5"/>
      <c r="L845" s="5"/>
    </row>
    <row r="846" spans="1:12" x14ac:dyDescent="0.25">
      <c r="A846" s="5"/>
      <c r="D846" s="5"/>
      <c r="G846" s="5"/>
      <c r="I846" s="5"/>
      <c r="L846" s="5"/>
    </row>
    <row r="847" spans="1:12" x14ac:dyDescent="0.25">
      <c r="A847" s="5"/>
      <c r="D847" s="5"/>
      <c r="G847" s="5"/>
      <c r="I847" s="5"/>
      <c r="L847" s="5"/>
    </row>
    <row r="848" spans="1:12" x14ac:dyDescent="0.25">
      <c r="A848" s="5"/>
      <c r="D848" s="5"/>
      <c r="G848" s="5"/>
      <c r="I848" s="5"/>
      <c r="L848" s="5"/>
    </row>
    <row r="849" spans="1:12" x14ac:dyDescent="0.25">
      <c r="A849" s="5"/>
      <c r="D849" s="5"/>
      <c r="G849" s="5"/>
      <c r="I849" s="5"/>
      <c r="L849" s="5"/>
    </row>
    <row r="850" spans="1:12" x14ac:dyDescent="0.25">
      <c r="A850" s="5"/>
      <c r="D850" s="5"/>
      <c r="G850" s="5"/>
      <c r="I850" s="5"/>
      <c r="L850" s="5"/>
    </row>
    <row r="851" spans="1:12" x14ac:dyDescent="0.25">
      <c r="A851" s="5"/>
      <c r="D851" s="5"/>
      <c r="G851" s="5"/>
      <c r="I851" s="5"/>
      <c r="L851" s="5"/>
    </row>
    <row r="852" spans="1:12" x14ac:dyDescent="0.25">
      <c r="A852" s="5"/>
      <c r="D852" s="5"/>
      <c r="G852" s="5"/>
      <c r="I852" s="5"/>
      <c r="L852" s="5"/>
    </row>
    <row r="853" spans="1:12" x14ac:dyDescent="0.25">
      <c r="A853" s="5"/>
      <c r="D853" s="5"/>
      <c r="G853" s="5"/>
      <c r="I853" s="5"/>
      <c r="L853" s="5"/>
    </row>
    <row r="854" spans="1:12" x14ac:dyDescent="0.25">
      <c r="A854" s="5"/>
      <c r="D854" s="5"/>
      <c r="G854" s="5"/>
      <c r="I854" s="5"/>
      <c r="L854" s="5"/>
    </row>
    <row r="855" spans="1:12" x14ac:dyDescent="0.25">
      <c r="A855" s="5"/>
      <c r="D855" s="5"/>
      <c r="G855" s="5"/>
      <c r="I855" s="5"/>
      <c r="L855" s="5"/>
    </row>
    <row r="856" spans="1:12" x14ac:dyDescent="0.25">
      <c r="A856" s="5"/>
      <c r="D856" s="5"/>
      <c r="G856" s="5"/>
      <c r="I856" s="5"/>
      <c r="L856" s="5"/>
    </row>
    <row r="857" spans="1:12" x14ac:dyDescent="0.25">
      <c r="A857" s="5"/>
      <c r="D857" s="5"/>
      <c r="G857" s="5"/>
      <c r="I857" s="5"/>
      <c r="L857" s="5"/>
    </row>
    <row r="858" spans="1:12" x14ac:dyDescent="0.25">
      <c r="A858" s="5"/>
      <c r="D858" s="5"/>
      <c r="G858" s="5"/>
      <c r="I858" s="5"/>
      <c r="L858" s="5"/>
    </row>
    <row r="859" spans="1:12" x14ac:dyDescent="0.25">
      <c r="A859" s="5"/>
      <c r="D859" s="5"/>
      <c r="G859" s="5"/>
      <c r="I859" s="5"/>
      <c r="L859" s="5"/>
    </row>
    <row r="860" spans="1:12" x14ac:dyDescent="0.25">
      <c r="A860" s="5"/>
      <c r="D860" s="5"/>
      <c r="G860" s="5"/>
      <c r="I860" s="5"/>
      <c r="L860" s="5"/>
    </row>
    <row r="861" spans="1:12" x14ac:dyDescent="0.25">
      <c r="A861" s="5"/>
      <c r="D861" s="5"/>
      <c r="G861" s="5"/>
      <c r="I861" s="5"/>
      <c r="L861" s="5"/>
    </row>
    <row r="862" spans="1:12" x14ac:dyDescent="0.25">
      <c r="A862" s="5"/>
      <c r="D862" s="5"/>
      <c r="G862" s="5"/>
      <c r="I862" s="5"/>
      <c r="L862" s="5"/>
    </row>
    <row r="863" spans="1:12" x14ac:dyDescent="0.25">
      <c r="A863" s="5"/>
      <c r="D863" s="5"/>
      <c r="G863" s="5"/>
      <c r="I863" s="5"/>
      <c r="L863" s="5"/>
    </row>
    <row r="864" spans="1:12" x14ac:dyDescent="0.25">
      <c r="A864" s="5"/>
      <c r="D864" s="5"/>
      <c r="G864" s="5"/>
      <c r="I864" s="5"/>
      <c r="L864" s="5"/>
    </row>
    <row r="865" spans="1:12" x14ac:dyDescent="0.25">
      <c r="A865" s="5"/>
      <c r="D865" s="5"/>
      <c r="G865" s="5"/>
      <c r="I865" s="5"/>
      <c r="L865" s="5"/>
    </row>
    <row r="866" spans="1:12" x14ac:dyDescent="0.25">
      <c r="A866" s="5"/>
      <c r="D866" s="5"/>
      <c r="G866" s="5"/>
      <c r="I866" s="5"/>
      <c r="L866" s="5"/>
    </row>
    <row r="867" spans="1:12" x14ac:dyDescent="0.25">
      <c r="A867" s="5"/>
      <c r="D867" s="5"/>
      <c r="G867" s="5"/>
      <c r="I867" s="5"/>
      <c r="L867" s="5"/>
    </row>
    <row r="868" spans="1:12" x14ac:dyDescent="0.25">
      <c r="A868" s="5"/>
      <c r="D868" s="5"/>
      <c r="G868" s="5"/>
      <c r="I868" s="5"/>
      <c r="L868" s="5"/>
    </row>
    <row r="869" spans="1:12" x14ac:dyDescent="0.25">
      <c r="A869" s="5"/>
      <c r="D869" s="5"/>
      <c r="G869" s="5"/>
      <c r="I869" s="5"/>
      <c r="L869" s="5"/>
    </row>
    <row r="870" spans="1:12" x14ac:dyDescent="0.25">
      <c r="A870" s="5"/>
      <c r="D870" s="5"/>
      <c r="G870" s="5"/>
      <c r="I870" s="5"/>
      <c r="L870" s="5"/>
    </row>
    <row r="871" spans="1:12" x14ac:dyDescent="0.25">
      <c r="A871" s="5"/>
      <c r="D871" s="5"/>
      <c r="G871" s="5"/>
      <c r="I871" s="5"/>
      <c r="L871" s="5"/>
    </row>
    <row r="872" spans="1:12" x14ac:dyDescent="0.25">
      <c r="A872" s="5"/>
      <c r="D872" s="5"/>
      <c r="G872" s="5"/>
      <c r="I872" s="5"/>
      <c r="L872" s="5"/>
    </row>
    <row r="873" spans="1:12" x14ac:dyDescent="0.25">
      <c r="A873" s="5"/>
      <c r="D873" s="5"/>
      <c r="G873" s="5"/>
      <c r="I873" s="5"/>
      <c r="L873" s="5"/>
    </row>
    <row r="874" spans="1:12" x14ac:dyDescent="0.25">
      <c r="A874" s="5"/>
      <c r="D874" s="5"/>
      <c r="G874" s="5"/>
      <c r="I874" s="5"/>
      <c r="L874" s="5"/>
    </row>
    <row r="875" spans="1:12" x14ac:dyDescent="0.25">
      <c r="A875" s="5"/>
      <c r="D875" s="5"/>
      <c r="G875" s="5"/>
      <c r="I875" s="5"/>
      <c r="L875" s="5"/>
    </row>
    <row r="876" spans="1:12" x14ac:dyDescent="0.25">
      <c r="A876" s="5"/>
      <c r="D876" s="5"/>
      <c r="G876" s="5"/>
      <c r="I876" s="5"/>
      <c r="L876" s="5"/>
    </row>
    <row r="877" spans="1:12" x14ac:dyDescent="0.25">
      <c r="A877" s="5"/>
      <c r="D877" s="5"/>
      <c r="G877" s="5"/>
      <c r="I877" s="5"/>
      <c r="L877" s="5"/>
    </row>
    <row r="878" spans="1:12" x14ac:dyDescent="0.25">
      <c r="A878" s="5"/>
      <c r="D878" s="5"/>
      <c r="G878" s="5"/>
      <c r="I878" s="5"/>
      <c r="L878" s="5"/>
    </row>
    <row r="879" spans="1:12" x14ac:dyDescent="0.25">
      <c r="A879" s="5"/>
      <c r="D879" s="5"/>
      <c r="G879" s="5"/>
      <c r="I879" s="5"/>
      <c r="L879" s="5"/>
    </row>
    <row r="880" spans="1:12" x14ac:dyDescent="0.25">
      <c r="A880" s="5"/>
      <c r="D880" s="5"/>
      <c r="G880" s="5"/>
      <c r="I880" s="5"/>
      <c r="L880" s="5"/>
    </row>
    <row r="881" spans="1:12" x14ac:dyDescent="0.25">
      <c r="A881" s="5"/>
      <c r="D881" s="5"/>
      <c r="G881" s="5"/>
      <c r="I881" s="5"/>
      <c r="L881" s="5"/>
    </row>
    <row r="882" spans="1:12" x14ac:dyDescent="0.25">
      <c r="A882" s="5"/>
      <c r="D882" s="5"/>
      <c r="G882" s="5"/>
      <c r="I882" s="5"/>
      <c r="L882" s="5"/>
    </row>
    <row r="883" spans="1:12" x14ac:dyDescent="0.25">
      <c r="A883" s="5"/>
      <c r="D883" s="5"/>
      <c r="G883" s="5"/>
      <c r="I883" s="5"/>
      <c r="L883" s="5"/>
    </row>
    <row r="884" spans="1:12" x14ac:dyDescent="0.25">
      <c r="A884" s="5"/>
      <c r="D884" s="5"/>
      <c r="G884" s="5"/>
      <c r="I884" s="5"/>
      <c r="L884" s="5"/>
    </row>
    <row r="885" spans="1:12" x14ac:dyDescent="0.25">
      <c r="A885" s="5"/>
      <c r="D885" s="5"/>
      <c r="G885" s="5"/>
      <c r="I885" s="5"/>
      <c r="L885" s="5"/>
    </row>
    <row r="886" spans="1:12" x14ac:dyDescent="0.25">
      <c r="A886" s="5"/>
      <c r="D886" s="5"/>
      <c r="G886" s="5"/>
      <c r="I886" s="5"/>
      <c r="L886" s="5"/>
    </row>
    <row r="887" spans="1:12" x14ac:dyDescent="0.25">
      <c r="A887" s="5"/>
      <c r="D887" s="5"/>
      <c r="G887" s="5"/>
      <c r="I887" s="5"/>
      <c r="L887" s="5"/>
    </row>
    <row r="888" spans="1:12" x14ac:dyDescent="0.25">
      <c r="A888" s="5"/>
      <c r="D888" s="5"/>
      <c r="G888" s="5"/>
      <c r="I888" s="5"/>
      <c r="L888" s="5"/>
    </row>
    <row r="889" spans="1:12" x14ac:dyDescent="0.25">
      <c r="A889" s="5"/>
      <c r="D889" s="5"/>
      <c r="G889" s="5"/>
      <c r="I889" s="5"/>
      <c r="L889" s="5"/>
    </row>
    <row r="890" spans="1:12" x14ac:dyDescent="0.25">
      <c r="A890" s="5"/>
      <c r="D890" s="5"/>
      <c r="G890" s="5"/>
      <c r="I890" s="5"/>
      <c r="L890" s="5"/>
    </row>
    <row r="891" spans="1:12" x14ac:dyDescent="0.25">
      <c r="A891" s="5"/>
      <c r="D891" s="5"/>
      <c r="G891" s="5"/>
      <c r="I891" s="5"/>
      <c r="L891" s="5"/>
    </row>
    <row r="892" spans="1:12" x14ac:dyDescent="0.25">
      <c r="A892" s="5"/>
      <c r="D892" s="5"/>
      <c r="G892" s="5"/>
      <c r="I892" s="5"/>
      <c r="L892" s="5"/>
    </row>
    <row r="893" spans="1:12" x14ac:dyDescent="0.25">
      <c r="A893" s="5"/>
      <c r="D893" s="5"/>
      <c r="G893" s="5"/>
      <c r="I893" s="5"/>
      <c r="L893" s="5"/>
    </row>
    <row r="894" spans="1:12" x14ac:dyDescent="0.25">
      <c r="A894" s="5"/>
      <c r="D894" s="5"/>
      <c r="G894" s="5"/>
      <c r="I894" s="5"/>
      <c r="L894" s="5"/>
    </row>
    <row r="895" spans="1:12" x14ac:dyDescent="0.25">
      <c r="A895" s="5"/>
      <c r="D895" s="5"/>
      <c r="G895" s="5"/>
      <c r="I895" s="5"/>
      <c r="L895" s="5"/>
    </row>
    <row r="896" spans="1:12" x14ac:dyDescent="0.25">
      <c r="A896" s="5"/>
      <c r="D896" s="5"/>
      <c r="G896" s="5"/>
      <c r="I896" s="5"/>
      <c r="L896" s="5"/>
    </row>
    <row r="897" spans="1:12" x14ac:dyDescent="0.25">
      <c r="A897" s="5"/>
      <c r="D897" s="5"/>
      <c r="G897" s="5"/>
      <c r="I897" s="5"/>
      <c r="L897" s="5"/>
    </row>
    <row r="898" spans="1:12" x14ac:dyDescent="0.25">
      <c r="A898" s="5"/>
      <c r="D898" s="5"/>
      <c r="G898" s="5"/>
      <c r="I898" s="5"/>
      <c r="L898" s="5"/>
    </row>
    <row r="899" spans="1:12" x14ac:dyDescent="0.25">
      <c r="A899" s="5"/>
      <c r="D899" s="5"/>
      <c r="G899" s="5"/>
      <c r="I899" s="5"/>
      <c r="L899" s="5"/>
    </row>
    <row r="900" spans="1:12" x14ac:dyDescent="0.25">
      <c r="A900" s="5"/>
      <c r="D900" s="5"/>
      <c r="G900" s="5"/>
      <c r="I900" s="5"/>
      <c r="L900" s="5"/>
    </row>
    <row r="901" spans="1:12" x14ac:dyDescent="0.25">
      <c r="A901" s="5"/>
      <c r="D901" s="5"/>
      <c r="G901" s="5"/>
      <c r="I901" s="5"/>
      <c r="L901" s="5"/>
    </row>
    <row r="902" spans="1:12" x14ac:dyDescent="0.25">
      <c r="A902" s="5"/>
      <c r="D902" s="5"/>
      <c r="G902" s="5"/>
      <c r="I902" s="5"/>
      <c r="L902" s="5"/>
    </row>
    <row r="903" spans="1:12" x14ac:dyDescent="0.25">
      <c r="A903" s="5"/>
      <c r="D903" s="5"/>
      <c r="G903" s="5"/>
      <c r="I903" s="5"/>
      <c r="L903" s="5"/>
    </row>
    <row r="904" spans="1:12" x14ac:dyDescent="0.25">
      <c r="A904" s="5"/>
      <c r="D904" s="5"/>
      <c r="G904" s="5"/>
      <c r="I904" s="5"/>
      <c r="L904" s="5"/>
    </row>
    <row r="905" spans="1:12" x14ac:dyDescent="0.25">
      <c r="A905" s="5"/>
      <c r="D905" s="5"/>
      <c r="G905" s="5"/>
      <c r="I905" s="5"/>
      <c r="L905" s="5"/>
    </row>
    <row r="906" spans="1:12" x14ac:dyDescent="0.25">
      <c r="A906" s="5"/>
      <c r="D906" s="5"/>
      <c r="G906" s="5"/>
      <c r="I906" s="5"/>
      <c r="L906" s="5"/>
    </row>
    <row r="907" spans="1:12" x14ac:dyDescent="0.25">
      <c r="A907" s="5"/>
      <c r="D907" s="5"/>
      <c r="G907" s="5"/>
      <c r="I907" s="5"/>
      <c r="L907" s="5"/>
    </row>
    <row r="908" spans="1:12" x14ac:dyDescent="0.25">
      <c r="A908" s="5"/>
      <c r="D908" s="5"/>
      <c r="G908" s="5"/>
      <c r="I908" s="5"/>
      <c r="L908" s="5"/>
    </row>
    <row r="909" spans="1:12" x14ac:dyDescent="0.25">
      <c r="A909" s="5"/>
      <c r="D909" s="5"/>
      <c r="G909" s="5"/>
      <c r="I909" s="5"/>
      <c r="L909" s="5"/>
    </row>
    <row r="910" spans="1:12" x14ac:dyDescent="0.25">
      <c r="A910" s="5"/>
      <c r="D910" s="5"/>
      <c r="G910" s="5"/>
      <c r="I910" s="5"/>
      <c r="L910" s="5"/>
    </row>
    <row r="911" spans="1:12" x14ac:dyDescent="0.25">
      <c r="A911" s="5"/>
      <c r="D911" s="5"/>
      <c r="G911" s="5"/>
      <c r="I911" s="5"/>
      <c r="L911" s="5"/>
    </row>
    <row r="912" spans="1:12" x14ac:dyDescent="0.25">
      <c r="A912" s="5"/>
      <c r="D912" s="5"/>
      <c r="G912" s="5"/>
      <c r="I912" s="5"/>
      <c r="L912" s="5"/>
    </row>
    <row r="913" spans="1:12" x14ac:dyDescent="0.25">
      <c r="A913" s="5"/>
      <c r="D913" s="5"/>
      <c r="G913" s="5"/>
      <c r="I913" s="5"/>
      <c r="L913" s="5"/>
    </row>
    <row r="914" spans="1:12" x14ac:dyDescent="0.25">
      <c r="A914" s="5"/>
      <c r="D914" s="5"/>
      <c r="G914" s="5"/>
      <c r="I914" s="5"/>
      <c r="L914" s="5"/>
    </row>
    <row r="915" spans="1:12" x14ac:dyDescent="0.25">
      <c r="A915" s="5"/>
      <c r="D915" s="5"/>
      <c r="G915" s="5"/>
      <c r="I915" s="5"/>
      <c r="L915" s="5"/>
    </row>
    <row r="916" spans="1:12" x14ac:dyDescent="0.25">
      <c r="A916" s="5"/>
      <c r="D916" s="5"/>
      <c r="G916" s="5"/>
      <c r="I916" s="5"/>
      <c r="L916" s="5"/>
    </row>
    <row r="917" spans="1:12" x14ac:dyDescent="0.25">
      <c r="A917" s="5"/>
      <c r="D917" s="5"/>
      <c r="G917" s="5"/>
      <c r="I917" s="5"/>
      <c r="L917" s="5"/>
    </row>
    <row r="918" spans="1:12" x14ac:dyDescent="0.25">
      <c r="A918" s="5"/>
      <c r="D918" s="5"/>
      <c r="G918" s="5"/>
      <c r="I918" s="5"/>
      <c r="L918" s="5"/>
    </row>
    <row r="919" spans="1:12" x14ac:dyDescent="0.25">
      <c r="A919" s="5"/>
      <c r="D919" s="5"/>
      <c r="G919" s="5"/>
      <c r="I919" s="5"/>
      <c r="L919" s="5"/>
    </row>
    <row r="920" spans="1:12" x14ac:dyDescent="0.25">
      <c r="A920" s="5"/>
      <c r="D920" s="5"/>
      <c r="G920" s="5"/>
      <c r="I920" s="5"/>
      <c r="L920" s="5"/>
    </row>
    <row r="921" spans="1:12" x14ac:dyDescent="0.25">
      <c r="A921" s="5"/>
      <c r="D921" s="5"/>
      <c r="G921" s="5"/>
      <c r="I921" s="5"/>
      <c r="L921" s="5"/>
    </row>
    <row r="922" spans="1:12" x14ac:dyDescent="0.25">
      <c r="A922" s="5"/>
      <c r="D922" s="5"/>
      <c r="G922" s="5"/>
      <c r="I922" s="5"/>
      <c r="L922" s="5"/>
    </row>
    <row r="923" spans="1:12" x14ac:dyDescent="0.25">
      <c r="A923" s="5"/>
      <c r="D923" s="5"/>
      <c r="G923" s="5"/>
      <c r="I923" s="5"/>
      <c r="L923" s="5"/>
    </row>
    <row r="924" spans="1:12" x14ac:dyDescent="0.25">
      <c r="A924" s="5"/>
      <c r="D924" s="5"/>
      <c r="G924" s="5"/>
      <c r="I924" s="5"/>
      <c r="L924" s="5"/>
    </row>
    <row r="925" spans="1:12" x14ac:dyDescent="0.25">
      <c r="A925" s="5"/>
      <c r="D925" s="5"/>
      <c r="G925" s="5"/>
      <c r="I925" s="5"/>
      <c r="L925" s="5"/>
    </row>
    <row r="926" spans="1:12" x14ac:dyDescent="0.25">
      <c r="A926" s="5"/>
      <c r="D926" s="5"/>
      <c r="G926" s="5"/>
      <c r="I926" s="5"/>
      <c r="L926" s="5"/>
    </row>
    <row r="927" spans="1:12" x14ac:dyDescent="0.25">
      <c r="A927" s="5"/>
      <c r="D927" s="5"/>
      <c r="G927" s="5"/>
      <c r="I927" s="5"/>
      <c r="L927" s="5"/>
    </row>
    <row r="928" spans="1:12" x14ac:dyDescent="0.25">
      <c r="A928" s="5"/>
      <c r="D928" s="5"/>
      <c r="G928" s="5"/>
      <c r="I928" s="5"/>
      <c r="L928" s="5"/>
    </row>
    <row r="929" spans="1:12" x14ac:dyDescent="0.25">
      <c r="A929" s="5"/>
      <c r="D929" s="5"/>
      <c r="G929" s="5"/>
      <c r="I929" s="5"/>
      <c r="L929" s="5"/>
    </row>
    <row r="930" spans="1:12" x14ac:dyDescent="0.25">
      <c r="A930" s="5"/>
      <c r="D930" s="5"/>
      <c r="G930" s="5"/>
      <c r="I930" s="5"/>
      <c r="L930" s="5"/>
    </row>
    <row r="931" spans="1:12" x14ac:dyDescent="0.25">
      <c r="A931" s="5"/>
      <c r="D931" s="5"/>
      <c r="G931" s="5"/>
      <c r="I931" s="5"/>
      <c r="L931" s="5"/>
    </row>
    <row r="932" spans="1:12" x14ac:dyDescent="0.25">
      <c r="A932" s="5"/>
      <c r="D932" s="5"/>
      <c r="G932" s="5"/>
      <c r="I932" s="5"/>
      <c r="L932" s="5"/>
    </row>
    <row r="933" spans="1:12" x14ac:dyDescent="0.25">
      <c r="A933" s="5"/>
      <c r="D933" s="5"/>
      <c r="G933" s="5"/>
      <c r="I933" s="5"/>
      <c r="L933" s="5"/>
    </row>
    <row r="934" spans="1:12" x14ac:dyDescent="0.25">
      <c r="A934" s="5"/>
      <c r="D934" s="5"/>
      <c r="G934" s="5"/>
      <c r="I934" s="5"/>
      <c r="L934" s="5"/>
    </row>
    <row r="935" spans="1:12" x14ac:dyDescent="0.25">
      <c r="A935" s="5"/>
      <c r="D935" s="5"/>
      <c r="G935" s="5"/>
      <c r="I935" s="5"/>
      <c r="L935" s="5"/>
    </row>
    <row r="936" spans="1:12" x14ac:dyDescent="0.25">
      <c r="A936" s="5"/>
      <c r="D936" s="5"/>
      <c r="G936" s="5"/>
      <c r="I936" s="5"/>
      <c r="L936" s="5"/>
    </row>
    <row r="937" spans="1:12" x14ac:dyDescent="0.25">
      <c r="A937" s="5"/>
      <c r="D937" s="5"/>
      <c r="G937" s="5"/>
      <c r="I937" s="5"/>
      <c r="L937" s="5"/>
    </row>
    <row r="938" spans="1:12" x14ac:dyDescent="0.25">
      <c r="A938" s="5"/>
      <c r="D938" s="5"/>
      <c r="G938" s="5"/>
      <c r="I938" s="5"/>
      <c r="L938" s="5"/>
    </row>
    <row r="939" spans="1:12" x14ac:dyDescent="0.25">
      <c r="A939" s="5"/>
      <c r="D939" s="5"/>
      <c r="G939" s="5"/>
      <c r="I939" s="5"/>
      <c r="L939" s="5"/>
    </row>
    <row r="940" spans="1:12" x14ac:dyDescent="0.25">
      <c r="A940" s="5"/>
      <c r="D940" s="5"/>
      <c r="G940" s="5"/>
      <c r="I940" s="5"/>
      <c r="L940" s="5"/>
    </row>
    <row r="941" spans="1:12" x14ac:dyDescent="0.25">
      <c r="A941" s="5"/>
      <c r="D941" s="5"/>
      <c r="G941" s="5"/>
      <c r="I941" s="5"/>
      <c r="L941" s="5"/>
    </row>
    <row r="942" spans="1:12" x14ac:dyDescent="0.25">
      <c r="A942" s="5"/>
      <c r="D942" s="5"/>
      <c r="G942" s="5"/>
      <c r="I942" s="5"/>
      <c r="L942" s="5"/>
    </row>
    <row r="943" spans="1:12" x14ac:dyDescent="0.25">
      <c r="A943" s="5"/>
      <c r="D943" s="5"/>
      <c r="G943" s="5"/>
      <c r="I943" s="5"/>
      <c r="L943" s="5"/>
    </row>
    <row r="944" spans="1:12" x14ac:dyDescent="0.25">
      <c r="A944" s="5"/>
      <c r="D944" s="5"/>
      <c r="G944" s="5"/>
      <c r="I944" s="5"/>
      <c r="L944" s="5"/>
    </row>
    <row r="945" spans="1:12" x14ac:dyDescent="0.25">
      <c r="A945" s="5"/>
      <c r="D945" s="5"/>
      <c r="G945" s="5"/>
      <c r="I945" s="5"/>
      <c r="L945" s="5"/>
    </row>
    <row r="946" spans="1:12" x14ac:dyDescent="0.25">
      <c r="A946" s="5"/>
      <c r="D946" s="5"/>
      <c r="G946" s="5"/>
      <c r="I946" s="5"/>
      <c r="L946" s="5"/>
    </row>
    <row r="947" spans="1:12" x14ac:dyDescent="0.25">
      <c r="A947" s="5"/>
      <c r="D947" s="5"/>
      <c r="G947" s="5"/>
      <c r="I947" s="5"/>
      <c r="L947" s="5"/>
    </row>
    <row r="948" spans="1:12" x14ac:dyDescent="0.25">
      <c r="A948" s="5"/>
      <c r="D948" s="5"/>
      <c r="G948" s="5"/>
      <c r="I948" s="5"/>
      <c r="L948" s="5"/>
    </row>
    <row r="949" spans="1:12" x14ac:dyDescent="0.25">
      <c r="A949" s="5"/>
      <c r="D949" s="5"/>
      <c r="G949" s="5"/>
      <c r="I949" s="5"/>
      <c r="L949" s="5"/>
    </row>
    <row r="950" spans="1:12" x14ac:dyDescent="0.25">
      <c r="A950" s="5"/>
      <c r="D950" s="5"/>
      <c r="G950" s="5"/>
      <c r="I950" s="5"/>
      <c r="L950" s="5"/>
    </row>
    <row r="951" spans="1:12" x14ac:dyDescent="0.25">
      <c r="A951" s="5"/>
      <c r="D951" s="5"/>
      <c r="G951" s="5"/>
      <c r="I951" s="5"/>
      <c r="L951" s="5"/>
    </row>
    <row r="952" spans="1:12" x14ac:dyDescent="0.25">
      <c r="A952" s="5"/>
      <c r="D952" s="5"/>
      <c r="G952" s="5"/>
      <c r="I952" s="5"/>
      <c r="L952" s="5"/>
    </row>
    <row r="953" spans="1:12" x14ac:dyDescent="0.25">
      <c r="A953" s="5"/>
      <c r="D953" s="5"/>
      <c r="G953" s="5"/>
      <c r="I953" s="5"/>
      <c r="L953" s="5"/>
    </row>
    <row r="954" spans="1:12" x14ac:dyDescent="0.25">
      <c r="A954" s="5"/>
      <c r="D954" s="5"/>
      <c r="G954" s="5"/>
      <c r="I954" s="5"/>
      <c r="L954" s="5"/>
    </row>
    <row r="955" spans="1:12" x14ac:dyDescent="0.25">
      <c r="A955" s="5"/>
      <c r="D955" s="5"/>
      <c r="G955" s="5"/>
      <c r="I955" s="5"/>
      <c r="L955" s="5"/>
    </row>
    <row r="956" spans="1:12" x14ac:dyDescent="0.25">
      <c r="A956" s="5"/>
      <c r="D956" s="5"/>
      <c r="G956" s="5"/>
      <c r="I956" s="5"/>
      <c r="L956" s="5"/>
    </row>
    <row r="957" spans="1:12" x14ac:dyDescent="0.25">
      <c r="A957" s="5"/>
      <c r="D957" s="5"/>
      <c r="G957" s="5"/>
      <c r="I957" s="5"/>
      <c r="L957" s="5"/>
    </row>
    <row r="958" spans="1:12" x14ac:dyDescent="0.25">
      <c r="A958" s="5"/>
      <c r="D958" s="5"/>
      <c r="G958" s="5"/>
      <c r="I958" s="5"/>
      <c r="L958" s="5"/>
    </row>
    <row r="959" spans="1:12" x14ac:dyDescent="0.25">
      <c r="A959" s="5"/>
      <c r="D959" s="5"/>
      <c r="G959" s="5"/>
      <c r="I959" s="5"/>
      <c r="L959" s="5"/>
    </row>
    <row r="960" spans="1:12" x14ac:dyDescent="0.25">
      <c r="A960" s="5"/>
      <c r="D960" s="5"/>
      <c r="G960" s="5"/>
      <c r="I960" s="5"/>
      <c r="L960" s="5"/>
    </row>
    <row r="961" spans="1:12" x14ac:dyDescent="0.25">
      <c r="A961" s="5"/>
      <c r="D961" s="5"/>
      <c r="G961" s="5"/>
      <c r="I961" s="5"/>
      <c r="L961" s="5"/>
    </row>
    <row r="962" spans="1:12" x14ac:dyDescent="0.25">
      <c r="A962" s="5"/>
      <c r="D962" s="5"/>
      <c r="G962" s="5"/>
      <c r="I962" s="5"/>
      <c r="L962" s="5"/>
    </row>
    <row r="963" spans="1:12" x14ac:dyDescent="0.25">
      <c r="A963" s="5"/>
      <c r="D963" s="5"/>
      <c r="G963" s="5"/>
      <c r="I963" s="5"/>
      <c r="L963" s="5"/>
    </row>
    <row r="964" spans="1:12" x14ac:dyDescent="0.25">
      <c r="A964" s="5"/>
      <c r="D964" s="5"/>
      <c r="G964" s="5"/>
      <c r="I964" s="5"/>
      <c r="L964" s="5"/>
    </row>
    <row r="965" spans="1:12" x14ac:dyDescent="0.25">
      <c r="A965" s="5"/>
      <c r="D965" s="5"/>
      <c r="G965" s="5"/>
      <c r="I965" s="5"/>
      <c r="L965" s="5"/>
    </row>
    <row r="966" spans="1:12" x14ac:dyDescent="0.25">
      <c r="A966" s="5"/>
      <c r="D966" s="5"/>
      <c r="G966" s="5"/>
      <c r="I966" s="5"/>
      <c r="L966" s="5"/>
    </row>
    <row r="967" spans="1:12" x14ac:dyDescent="0.25">
      <c r="A967" s="5"/>
      <c r="D967" s="5"/>
      <c r="G967" s="5"/>
      <c r="I967" s="5"/>
      <c r="L967" s="5"/>
    </row>
    <row r="968" spans="1:12" x14ac:dyDescent="0.25">
      <c r="A968" s="5"/>
      <c r="D968" s="5"/>
      <c r="G968" s="5"/>
      <c r="I968" s="5"/>
      <c r="L968" s="5"/>
    </row>
    <row r="969" spans="1:12" x14ac:dyDescent="0.25">
      <c r="A969" s="5"/>
      <c r="D969" s="5"/>
      <c r="G969" s="5"/>
      <c r="I969" s="5"/>
      <c r="L969" s="5"/>
    </row>
    <row r="970" spans="1:12" x14ac:dyDescent="0.25">
      <c r="A970" s="5"/>
      <c r="D970" s="5"/>
      <c r="G970" s="5"/>
      <c r="I970" s="5"/>
      <c r="L970" s="5"/>
    </row>
    <row r="971" spans="1:12" x14ac:dyDescent="0.25">
      <c r="A971" s="5"/>
      <c r="D971" s="5"/>
      <c r="G971" s="5"/>
      <c r="I971" s="5"/>
      <c r="L971" s="5"/>
    </row>
    <row r="972" spans="1:12" x14ac:dyDescent="0.25">
      <c r="A972" s="5"/>
      <c r="D972" s="5"/>
      <c r="G972" s="5"/>
      <c r="I972" s="5"/>
      <c r="L972" s="5"/>
    </row>
    <row r="973" spans="1:12" x14ac:dyDescent="0.25">
      <c r="A973" s="5"/>
      <c r="D973" s="5"/>
      <c r="G973" s="5"/>
      <c r="I973" s="5"/>
      <c r="L973" s="5"/>
    </row>
    <row r="974" spans="1:12" x14ac:dyDescent="0.25">
      <c r="A974" s="5"/>
      <c r="D974" s="5"/>
      <c r="G974" s="5"/>
      <c r="I974" s="5"/>
      <c r="L974" s="5"/>
    </row>
    <row r="975" spans="1:12" x14ac:dyDescent="0.25">
      <c r="A975" s="5"/>
      <c r="D975" s="5"/>
      <c r="G975" s="5"/>
      <c r="I975" s="5"/>
      <c r="L975" s="5"/>
    </row>
    <row r="976" spans="1:12" x14ac:dyDescent="0.25">
      <c r="A976" s="5"/>
      <c r="D976" s="5"/>
      <c r="G976" s="5"/>
      <c r="I976" s="5"/>
      <c r="L976" s="5"/>
    </row>
    <row r="977" spans="1:12" x14ac:dyDescent="0.25">
      <c r="A977" s="5"/>
      <c r="D977" s="5"/>
      <c r="G977" s="5"/>
      <c r="I977" s="5"/>
      <c r="L977" s="5"/>
    </row>
    <row r="978" spans="1:12" x14ac:dyDescent="0.25">
      <c r="A978" s="5"/>
      <c r="D978" s="5"/>
      <c r="G978" s="5"/>
      <c r="I978" s="5"/>
      <c r="L978" s="5"/>
    </row>
    <row r="979" spans="1:12" x14ac:dyDescent="0.25">
      <c r="A979" s="5"/>
      <c r="D979" s="5"/>
      <c r="G979" s="5"/>
      <c r="I979" s="5"/>
      <c r="L979" s="5"/>
    </row>
    <row r="980" spans="1:12" x14ac:dyDescent="0.25">
      <c r="A980" s="5"/>
      <c r="D980" s="5"/>
      <c r="G980" s="5"/>
      <c r="I980" s="5"/>
      <c r="L980" s="5"/>
    </row>
    <row r="981" spans="1:12" x14ac:dyDescent="0.25">
      <c r="A981" s="5"/>
      <c r="D981" s="5"/>
      <c r="G981" s="5"/>
      <c r="I981" s="5"/>
      <c r="L981" s="5"/>
    </row>
    <row r="982" spans="1:12" x14ac:dyDescent="0.25">
      <c r="A982" s="5"/>
      <c r="D982" s="5"/>
      <c r="G982" s="5"/>
      <c r="I982" s="5"/>
      <c r="L982" s="5"/>
    </row>
    <row r="983" spans="1:12" x14ac:dyDescent="0.25">
      <c r="A983" s="5"/>
      <c r="D983" s="5"/>
      <c r="G983" s="5"/>
      <c r="I983" s="5"/>
      <c r="L983" s="5"/>
    </row>
    <row r="984" spans="1:12" x14ac:dyDescent="0.25">
      <c r="A984" s="5"/>
      <c r="D984" s="5"/>
      <c r="G984" s="5"/>
      <c r="I984" s="5"/>
      <c r="L984" s="5"/>
    </row>
    <row r="985" spans="1:12" x14ac:dyDescent="0.25">
      <c r="A985" s="5"/>
      <c r="D985" s="5"/>
      <c r="G985" s="5"/>
      <c r="I985" s="5"/>
      <c r="L985" s="5"/>
    </row>
    <row r="986" spans="1:12" x14ac:dyDescent="0.25">
      <c r="A986" s="5"/>
      <c r="D986" s="5"/>
      <c r="G986" s="5"/>
      <c r="I986" s="5"/>
      <c r="L986" s="5"/>
    </row>
    <row r="987" spans="1:12" x14ac:dyDescent="0.25">
      <c r="A987" s="5"/>
      <c r="D987" s="5"/>
      <c r="G987" s="5"/>
      <c r="I987" s="5"/>
      <c r="L987" s="5"/>
    </row>
    <row r="988" spans="1:12" x14ac:dyDescent="0.25">
      <c r="A988" s="5"/>
      <c r="D988" s="5"/>
      <c r="G988" s="5"/>
      <c r="I988" s="5"/>
      <c r="L988" s="5"/>
    </row>
    <row r="989" spans="1:12" x14ac:dyDescent="0.25">
      <c r="A989" s="5"/>
      <c r="D989" s="5"/>
      <c r="G989" s="5"/>
      <c r="I989" s="5"/>
      <c r="L989" s="5"/>
    </row>
    <row r="990" spans="1:12" x14ac:dyDescent="0.25">
      <c r="A990" s="5"/>
      <c r="D990" s="5"/>
      <c r="G990" s="5"/>
      <c r="I990" s="5"/>
      <c r="L990" s="5"/>
    </row>
    <row r="991" spans="1:12" x14ac:dyDescent="0.25">
      <c r="A991" s="5"/>
      <c r="D991" s="5"/>
      <c r="G991" s="5"/>
      <c r="I991" s="5"/>
      <c r="L991" s="5"/>
    </row>
    <row r="992" spans="1:12" x14ac:dyDescent="0.25">
      <c r="A992" s="5"/>
      <c r="D992" s="5"/>
      <c r="G992" s="5"/>
      <c r="I992" s="5"/>
      <c r="L992" s="5"/>
    </row>
    <row r="993" spans="1:12" x14ac:dyDescent="0.25">
      <c r="A993" s="5"/>
      <c r="D993" s="5"/>
      <c r="G993" s="5"/>
      <c r="I993" s="5"/>
      <c r="L993" s="5"/>
    </row>
    <row r="994" spans="1:12" x14ac:dyDescent="0.25">
      <c r="A994" s="5"/>
      <c r="D994" s="5"/>
      <c r="G994" s="5"/>
      <c r="I994" s="5"/>
      <c r="L994" s="5"/>
    </row>
    <row r="995" spans="1:12" x14ac:dyDescent="0.25">
      <c r="A995" s="5"/>
      <c r="D995" s="5"/>
      <c r="G995" s="5"/>
      <c r="I995" s="5"/>
      <c r="L995" s="5"/>
    </row>
    <row r="996" spans="1:12" x14ac:dyDescent="0.25">
      <c r="A996" s="5"/>
      <c r="D996" s="5"/>
      <c r="G996" s="5"/>
      <c r="I996" s="5"/>
      <c r="L996" s="5"/>
    </row>
    <row r="997" spans="1:12" x14ac:dyDescent="0.25">
      <c r="A997" s="5"/>
      <c r="D997" s="5"/>
      <c r="G997" s="5"/>
      <c r="I997" s="5"/>
      <c r="L997" s="5"/>
    </row>
    <row r="998" spans="1:12" x14ac:dyDescent="0.25">
      <c r="A998" s="5"/>
      <c r="D998" s="5"/>
      <c r="G998" s="5"/>
      <c r="I998" s="5"/>
      <c r="L998" s="5"/>
    </row>
    <row r="999" spans="1:12" x14ac:dyDescent="0.25">
      <c r="A999" s="5"/>
      <c r="D999" s="5"/>
      <c r="G999" s="5"/>
      <c r="I999" s="5"/>
      <c r="L999" s="5"/>
    </row>
    <row r="1000" spans="1:12" x14ac:dyDescent="0.25">
      <c r="A1000" s="5"/>
      <c r="D1000" s="5"/>
      <c r="G1000" s="5"/>
      <c r="I1000" s="5"/>
      <c r="L1000" s="5"/>
    </row>
  </sheetData>
  <sortState xmlns:xlrd2="http://schemas.microsoft.com/office/spreadsheetml/2017/richdata2" ref="M18:N26">
    <sortCondition ref="M18:M26"/>
  </sortState>
  <mergeCells count="23">
    <mergeCell ref="J45:K45"/>
    <mergeCell ref="J46:K46"/>
    <mergeCell ref="J47:K47"/>
    <mergeCell ref="J40:K40"/>
    <mergeCell ref="J41:K41"/>
    <mergeCell ref="J42:K42"/>
    <mergeCell ref="J43:K43"/>
    <mergeCell ref="J44:K44"/>
    <mergeCell ref="J35:K35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J26:K26"/>
    <mergeCell ref="J27:K27"/>
    <mergeCell ref="J28:K28"/>
    <mergeCell ref="J29:K29"/>
    <mergeCell ref="B2:N2"/>
  </mergeCells>
  <phoneticPr fontId="36" type="noConversion"/>
  <dataValidations count="1">
    <dataValidation type="list" allowBlank="1" showErrorMessage="1" sqref="U4:U7 U9:U200 S8" xr:uid="{00000000-0002-0000-0700-000000000000}">
      <formula1>$H$5:$H$6</formula1>
    </dataValidation>
  </dataValidations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f54f65f-5900-4f3a-8a8f-36c4ef76e5b6">
      <UserInfo>
        <DisplayName>Johnson, Dani - FS</DisplayName>
        <AccountId>104</AccountId>
        <AccountType/>
      </UserInfo>
      <UserInfo>
        <DisplayName>Carpentier, Dana - FS</DisplayName>
        <AccountId>827</AccountId>
        <AccountType/>
      </UserInfo>
      <UserInfo>
        <DisplayName>Cough, Chelsea - FS</DisplayName>
        <AccountId>828</AccountId>
        <AccountType/>
      </UserInfo>
      <UserInfo>
        <DisplayName>Lemire, Mary E -FS</DisplayName>
        <AccountId>105</AccountId>
        <AccountType/>
      </UserInfo>
      <UserInfo>
        <DisplayName>Carr, Holly - FS</DisplayName>
        <AccountId>302</AccountId>
        <AccountType/>
      </UserInfo>
      <UserInfo>
        <DisplayName>Helterline, Maria - FS</DisplayName>
        <AccountId>823</AccountId>
        <AccountType/>
      </UserInfo>
      <UserInfo>
        <DisplayName>Stark, Marin -FS</DisplayName>
        <AccountId>282</AccountId>
        <AccountType/>
      </UserInfo>
      <UserInfo>
        <DisplayName>Obrien, Erynn - FS, MISSOULA, MT</DisplayName>
        <AccountId>829</AccountId>
        <AccountType/>
      </UserInfo>
      <UserInfo>
        <DisplayName>Dispatch, MTLOLOD1 -FS</DisplayName>
        <AccountId>830</AccountId>
        <AccountType/>
      </UserInfo>
      <UserInfo>
        <DisplayName>Dispatch, MTLOLOD2 -FS</DisplayName>
        <AccountId>147</AccountId>
        <AccountType/>
      </UserInfo>
      <UserInfo>
        <DisplayName>Long, Kaemyn - FS, MISSOULA, MT</DisplayName>
        <AccountId>831</AccountId>
        <AccountType/>
      </UserInfo>
      <UserInfo>
        <DisplayName>Wade, Trina - FS</DisplayName>
        <AccountId>281</AccountId>
        <AccountType/>
      </UserInfo>
      <UserInfo>
        <DisplayName>Richardson, Beau -FS</DisplayName>
        <AccountId>280</AccountId>
        <AccountType/>
      </UserInfo>
    </SharedWithUsers>
    <lcf76f155ced4ddcb4097134ff3c332f xmlns="9ed5bf90-e531-4b7c-981c-b28418f95ac1">
      <Terms xmlns="http://schemas.microsoft.com/office/infopath/2007/PartnerControls"/>
    </lcf76f155ced4ddcb4097134ff3c332f>
    <TaxCatchAll xmlns="73fb875a-8af9-4255-b008-0995492d31cd" xsi:nil="true"/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1AAC4796C19848BC825AAC4CADC7A1" ma:contentTypeVersion="20" ma:contentTypeDescription="Create a new document." ma:contentTypeScope="" ma:versionID="b4c4a1cf7e51aaec5cef67fe5d889945">
  <xsd:schema xmlns:xsd="http://www.w3.org/2001/XMLSchema" xmlns:xs="http://www.w3.org/2001/XMLSchema" xmlns:p="http://schemas.microsoft.com/office/2006/metadata/properties" xmlns:ns2="9ed5bf90-e531-4b7c-981c-b28418f95ac1" xmlns:ns3="ff54f65f-5900-4f3a-8a8f-36c4ef76e5b6" xmlns:ns4="73fb875a-8af9-4255-b008-0995492d31cd" xmlns:ns5="http://schemas.microsoft.com/sharepoint/v4" targetNamespace="http://schemas.microsoft.com/office/2006/metadata/properties" ma:root="true" ma:fieldsID="8a71d192dc5d812760e07ba352f6fee8" ns2:_="" ns3:_="" ns4:_="" ns5:_="">
    <xsd:import namespace="9ed5bf90-e531-4b7c-981c-b28418f95ac1"/>
    <xsd:import namespace="ff54f65f-5900-4f3a-8a8f-36c4ef76e5b6"/>
    <xsd:import namespace="73fb875a-8af9-4255-b008-0995492d31c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5:IconOverlay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5bf90-e531-4b7c-981c-b28418f95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4f65f-5900-4f3a-8a8f-36c4ef76e5b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1f84aaa-c977-4b39-a44e-6ce667abdb42}" ma:internalName="TaxCatchAll" ma:showField="CatchAllData" ma:web="ff54f65f-5900-4f3a-8a8f-36c4ef76e5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2826DE9-AFDE-4D97-8B29-E8C15B2A54E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ff54f65f-5900-4f3a-8a8f-36c4ef76e5b6"/>
    <ds:schemaRef ds:uri="http://schemas.microsoft.com/sharepoint/v4"/>
    <ds:schemaRef ds:uri="http://www.w3.org/XML/1998/namespace"/>
    <ds:schemaRef ds:uri="73fb875a-8af9-4255-b008-0995492d31cd"/>
    <ds:schemaRef ds:uri="9ed5bf90-e531-4b7c-981c-b28418f95ac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0C02E8-99B8-40CF-89F5-2B00E1195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d5bf90-e531-4b7c-981c-b28418f95ac1"/>
    <ds:schemaRef ds:uri="ff54f65f-5900-4f3a-8a8f-36c4ef76e5b6"/>
    <ds:schemaRef ds:uri="73fb875a-8af9-4255-b008-0995492d31c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C47F4B-EEDB-4627-842A-6BE39CC3FB7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0856DC4-00C6-4B17-99E4-5B69673D2F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Morning Report</vt:lpstr>
      <vt:lpstr>FS-LNF</vt:lpstr>
      <vt:lpstr>MT-SWS</vt:lpstr>
      <vt:lpstr>COUNTY</vt:lpstr>
      <vt:lpstr>RX Fires</vt:lpstr>
      <vt:lpstr>SIT YTD Summary</vt:lpstr>
      <vt:lpstr>RAWS Precip</vt:lpstr>
      <vt:lpstr>Picklist Tables</vt:lpstr>
      <vt:lpstr>'RX Fires'!Criteria</vt:lpstr>
      <vt:lpstr>'RX Fires'!Extract</vt:lpstr>
      <vt:lpstr>COUNTY!Print_Area</vt:lpstr>
      <vt:lpstr>'FS-LNF'!Print_Area</vt:lpstr>
      <vt:lpstr>'Morning Report'!Print_Area</vt:lpstr>
      <vt:lpstr>'MT-SWS'!Print_Area</vt:lpstr>
      <vt:lpstr>'RX Fires'!Print_Area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Sage, Teresa M -FS</dc:creator>
  <cp:keywords/>
  <dc:description/>
  <cp:lastModifiedBy>Simpson, Rachel - FS, MT</cp:lastModifiedBy>
  <cp:revision/>
  <dcterms:created xsi:type="dcterms:W3CDTF">2020-01-28T20:58:01Z</dcterms:created>
  <dcterms:modified xsi:type="dcterms:W3CDTF">2023-11-09T22:05:53Z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0x010100D21AAC4796C19848BC825AAC4CADC7A1</vt:lpwstr>
  </property>
  <property fmtid="{D5CDD505-2E9C-101B-9397-08002B2CF9AE}" pid="3" name="MediaServiceImageTags">
    <vt:lpwstr/>
  </property>
</Properties>
</file>